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L:\Ledelse&amp;Økonomi\LandbrugsInfo\01-LandbrugsInfo\23-Promille\"/>
    </mc:Choice>
  </mc:AlternateContent>
  <xr:revisionPtr revIDLastSave="0" documentId="8_{B90F1C25-6EEF-4235-81CB-A72E99525510}" xr6:coauthVersionLast="47" xr6:coauthVersionMax="47" xr10:uidLastSave="{00000000-0000-0000-0000-000000000000}"/>
  <bookViews>
    <workbookView xWindow="25080" yWindow="-465" windowWidth="29040" windowHeight="15840" xr2:uid="{00000000-000D-0000-FFFF-FFFF00000000}"/>
  </bookViews>
  <sheets>
    <sheet name="Introduktion" sheetId="7" r:id="rId1"/>
    <sheet name="Solcelleøkonomi" sheetId="1" r:id="rId2"/>
    <sheet name="Årlige El-udgifter" sheetId="4" state="hidden" r:id="rId3"/>
    <sheet name="Kwh Pris" sheetId="3" state="hidden" r:id="rId4"/>
    <sheet name="Investerings betragtning" sheetId="5" state="hidden" r:id="rId5"/>
    <sheet name="Beregninger" sheetId="2" state="hidden" r:id="rId6"/>
    <sheet name="Anuitet" sheetId="6" state="hidden" r:id="rId7"/>
  </sheets>
  <definedNames>
    <definedName name="_xlnm.Print_Area" localSheetId="5">Beregninger!$A$1:$AE$40</definedName>
    <definedName name="_xlnm.Print_Area" localSheetId="1">Solcelleøkonomi!$A$1:$Q$55</definedName>
    <definedName name="_xlnm.Print_Titles" localSheetId="5">Beregninger!$A:$A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B35" i="2"/>
  <c r="C19" i="2"/>
  <c r="D19" i="2" s="1"/>
  <c r="E19" i="2" s="1"/>
  <c r="F19" i="2" s="1"/>
  <c r="G19" i="2" s="1"/>
  <c r="H19" i="2" s="1"/>
  <c r="I19" i="2" s="1"/>
  <c r="J19" i="2" s="1"/>
  <c r="K19" i="2" s="1"/>
  <c r="L19" i="2" s="1"/>
  <c r="M19" i="2" s="1"/>
  <c r="N19" i="2" s="1"/>
  <c r="O19" i="2" s="1"/>
  <c r="P19" i="2" s="1"/>
  <c r="Q19" i="2" s="1"/>
  <c r="R19" i="2" s="1"/>
  <c r="S19" i="2" s="1"/>
  <c r="T19" i="2" s="1"/>
  <c r="U19" i="2" s="1"/>
  <c r="V19" i="2" s="1"/>
  <c r="W19" i="2" s="1"/>
  <c r="X19" i="2" s="1"/>
  <c r="Y19" i="2" s="1"/>
  <c r="Z19" i="2" s="1"/>
  <c r="AA19" i="2" s="1"/>
  <c r="AB19" i="2" s="1"/>
  <c r="AC19" i="2" s="1"/>
  <c r="AD19" i="2" s="1"/>
  <c r="AE19" i="2" s="1"/>
  <c r="B21" i="2"/>
  <c r="B18" i="2"/>
  <c r="C18" i="2" s="1"/>
  <c r="B2" i="2"/>
  <c r="T12" i="2" s="1"/>
  <c r="B16" i="2"/>
  <c r="E6" i="6"/>
  <c r="D3" i="6"/>
  <c r="D4" i="6"/>
  <c r="B20" i="6" s="1"/>
  <c r="C7" i="2"/>
  <c r="B7" i="2"/>
  <c r="B26" i="1" s="1"/>
  <c r="D7" i="2"/>
  <c r="E7" i="2"/>
  <c r="F7" i="2"/>
  <c r="G7" i="2"/>
  <c r="H7" i="2"/>
  <c r="I7" i="2"/>
  <c r="J7" i="2"/>
  <c r="K7" i="2"/>
  <c r="L7" i="2"/>
  <c r="M7" i="2"/>
  <c r="N7" i="2"/>
  <c r="O7" i="2"/>
  <c r="P7" i="2"/>
  <c r="C15" i="2"/>
  <c r="C16" i="2" s="1"/>
  <c r="B12" i="2"/>
  <c r="C4" i="6"/>
  <c r="D6" i="6"/>
  <c r="B39" i="2" s="1"/>
  <c r="K12" i="2" l="1"/>
  <c r="R12" i="2"/>
  <c r="V12" i="2"/>
  <c r="AD12" i="2"/>
  <c r="P12" i="2"/>
  <c r="B31" i="1"/>
  <c r="M12" i="2"/>
  <c r="AE12" i="2"/>
  <c r="E12" i="2"/>
  <c r="L12" i="2"/>
  <c r="W12" i="2"/>
  <c r="Z12" i="2"/>
  <c r="N12" i="2"/>
  <c r="AA12" i="2"/>
  <c r="C12" i="2"/>
  <c r="C23" i="2" s="1"/>
  <c r="G12" i="2"/>
  <c r="B8" i="6"/>
  <c r="C8" i="6" s="1"/>
  <c r="C20" i="6"/>
  <c r="B9" i="6"/>
  <c r="C9" i="6" s="1"/>
  <c r="B22" i="2"/>
  <c r="B24" i="2" s="1"/>
  <c r="B27" i="1" s="1"/>
  <c r="C5" i="2"/>
  <c r="C22" i="2"/>
  <c r="C24" i="2" s="1"/>
  <c r="B13" i="6"/>
  <c r="C13" i="6" s="1"/>
  <c r="B27" i="6"/>
  <c r="B7" i="6"/>
  <c r="C7" i="6" s="1"/>
  <c r="B21" i="6"/>
  <c r="C21" i="6" s="1"/>
  <c r="I12" i="2"/>
  <c r="X12" i="2"/>
  <c r="AB12" i="2"/>
  <c r="D12" i="2"/>
  <c r="J12" i="2"/>
  <c r="U12" i="2"/>
  <c r="B14" i="6"/>
  <c r="C14" i="6" s="1"/>
  <c r="S12" i="2"/>
  <c r="Q12" i="2"/>
  <c r="O12" i="2"/>
  <c r="Y12" i="2"/>
  <c r="AC12" i="2"/>
  <c r="H12" i="2"/>
  <c r="F12" i="2"/>
  <c r="D15" i="2"/>
  <c r="E15" i="2" s="1"/>
  <c r="B5" i="2"/>
  <c r="B24" i="1" s="1"/>
  <c r="B6" i="6"/>
  <c r="C6" i="6" s="1"/>
  <c r="F6" i="6" s="1"/>
  <c r="B29" i="6"/>
  <c r="C29" i="6" s="1"/>
  <c r="B17" i="6"/>
  <c r="C17" i="6" s="1"/>
  <c r="B11" i="6"/>
  <c r="B35" i="6"/>
  <c r="C35" i="6" s="1"/>
  <c r="B18" i="6"/>
  <c r="C18" i="6" s="1"/>
  <c r="B34" i="6"/>
  <c r="C34" i="6" s="1"/>
  <c r="B16" i="6"/>
  <c r="C16" i="6" s="1"/>
  <c r="B33" i="6"/>
  <c r="C33" i="6" s="1"/>
  <c r="B32" i="6"/>
  <c r="C32" i="6" s="1"/>
  <c r="B15" i="6"/>
  <c r="C15" i="6" s="1"/>
  <c r="B31" i="6"/>
  <c r="C31" i="6" s="1"/>
  <c r="B22" i="6"/>
  <c r="C22" i="6" s="1"/>
  <c r="B30" i="6"/>
  <c r="C30" i="6" s="1"/>
  <c r="B10" i="6"/>
  <c r="C10" i="6" s="1"/>
  <c r="B19" i="6"/>
  <c r="C19" i="6" s="1"/>
  <c r="B28" i="6"/>
  <c r="C28" i="6" s="1"/>
  <c r="B26" i="6"/>
  <c r="C26" i="6" s="1"/>
  <c r="B25" i="6"/>
  <c r="C25" i="6" s="1"/>
  <c r="B23" i="6"/>
  <c r="C23" i="6" s="1"/>
  <c r="B24" i="6"/>
  <c r="C24" i="6" s="1"/>
  <c r="B12" i="6"/>
  <c r="C12" i="6" s="1"/>
  <c r="D26" i="1"/>
  <c r="E26" i="1"/>
  <c r="C26" i="1"/>
  <c r="D18" i="2"/>
  <c r="C11" i="6"/>
  <c r="B23" i="2"/>
  <c r="C27" i="6"/>
  <c r="D16" i="2" l="1"/>
  <c r="C34" i="2"/>
  <c r="C36" i="2" s="1"/>
  <c r="C37" i="2" s="1"/>
  <c r="C38" i="2" s="1"/>
  <c r="C25" i="2"/>
  <c r="F15" i="2"/>
  <c r="E16" i="2"/>
  <c r="D23" i="2"/>
  <c r="E18" i="2"/>
  <c r="E7" i="6"/>
  <c r="G6" i="6"/>
  <c r="B25" i="2"/>
  <c r="B33" i="1"/>
  <c r="B34" i="2"/>
  <c r="B36" i="2" s="1"/>
  <c r="B37" i="2" s="1"/>
  <c r="B38" i="2" s="1"/>
  <c r="B40" i="2" s="1"/>
  <c r="D5" i="2"/>
  <c r="D22" i="2"/>
  <c r="D24" i="2" s="1"/>
  <c r="F16" i="2" l="1"/>
  <c r="G15" i="2"/>
  <c r="D7" i="6"/>
  <c r="F18" i="2"/>
  <c r="E23" i="2"/>
  <c r="D34" i="2"/>
  <c r="D36" i="2" s="1"/>
  <c r="D37" i="2" s="1"/>
  <c r="D38" i="2" s="1"/>
  <c r="D25" i="2"/>
  <c r="B6" i="2"/>
  <c r="H6" i="6"/>
  <c r="J6" i="6" s="1"/>
  <c r="E22" i="2"/>
  <c r="E24" i="2" s="1"/>
  <c r="E5" i="2"/>
  <c r="B26" i="2" l="1"/>
  <c r="B17" i="2"/>
  <c r="B30" i="1" s="1"/>
  <c r="B25" i="1"/>
  <c r="B9" i="2"/>
  <c r="B10" i="2" s="1"/>
  <c r="E34" i="2"/>
  <c r="E36" i="2" s="1"/>
  <c r="E37" i="2" s="1"/>
  <c r="E38" i="2" s="1"/>
  <c r="E25" i="2"/>
  <c r="C31" i="1"/>
  <c r="F23" i="2"/>
  <c r="G18" i="2"/>
  <c r="H15" i="2"/>
  <c r="G16" i="2"/>
  <c r="F7" i="6"/>
  <c r="C39" i="2"/>
  <c r="C40" i="2" s="1"/>
  <c r="F5" i="2"/>
  <c r="C24" i="1" s="1"/>
  <c r="F22" i="2"/>
  <c r="F24" i="2" s="1"/>
  <c r="C27" i="1" s="1"/>
  <c r="B11" i="2" l="1"/>
  <c r="B28" i="1" s="1"/>
  <c r="G7" i="6"/>
  <c r="E8" i="6"/>
  <c r="C33" i="1"/>
  <c r="F34" i="2"/>
  <c r="F36" i="2" s="1"/>
  <c r="F37" i="2" s="1"/>
  <c r="F38" i="2" s="1"/>
  <c r="F25" i="2"/>
  <c r="H16" i="2"/>
  <c r="I15" i="2"/>
  <c r="G23" i="2"/>
  <c r="H18" i="2"/>
  <c r="G5" i="2"/>
  <c r="G22" i="2"/>
  <c r="G24" i="2" s="1"/>
  <c r="B28" i="2"/>
  <c r="B34" i="1" s="1"/>
  <c r="B27" i="2"/>
  <c r="C6" i="2" l="1"/>
  <c r="H7" i="6"/>
  <c r="J7" i="6" s="1"/>
  <c r="G34" i="2"/>
  <c r="G36" i="2" s="1"/>
  <c r="G37" i="2" s="1"/>
  <c r="G38" i="2" s="1"/>
  <c r="G25" i="2"/>
  <c r="J15" i="2"/>
  <c r="I16" i="2"/>
  <c r="I18" i="2"/>
  <c r="H23" i="2"/>
  <c r="D8" i="6"/>
  <c r="H5" i="2"/>
  <c r="H22" i="2"/>
  <c r="H24" i="2" s="1"/>
  <c r="F8" i="6" l="1"/>
  <c r="D39" i="2"/>
  <c r="D40" i="2" s="1"/>
  <c r="H25" i="2"/>
  <c r="H34" i="2"/>
  <c r="H36" i="2" s="1"/>
  <c r="H37" i="2" s="1"/>
  <c r="H38" i="2" s="1"/>
  <c r="K15" i="2"/>
  <c r="J16" i="2"/>
  <c r="J18" i="2"/>
  <c r="I23" i="2"/>
  <c r="C26" i="2"/>
  <c r="C17" i="2"/>
  <c r="C9" i="2"/>
  <c r="I5" i="2"/>
  <c r="I22" i="2"/>
  <c r="I24" i="2" s="1"/>
  <c r="J22" i="2" l="1"/>
  <c r="J24" i="2" s="1"/>
  <c r="J5" i="2"/>
  <c r="C28" i="2"/>
  <c r="C27" i="2"/>
  <c r="I25" i="2"/>
  <c r="I34" i="2"/>
  <c r="I36" i="2" s="1"/>
  <c r="I37" i="2" s="1"/>
  <c r="I38" i="2" s="1"/>
  <c r="L15" i="2"/>
  <c r="K16" i="2"/>
  <c r="C11" i="2"/>
  <c r="C10" i="2"/>
  <c r="J23" i="2"/>
  <c r="K18" i="2"/>
  <c r="G8" i="6"/>
  <c r="E9" i="6"/>
  <c r="D6" i="2" l="1"/>
  <c r="H8" i="6"/>
  <c r="J8" i="6" s="1"/>
  <c r="L18" i="2"/>
  <c r="K23" i="2"/>
  <c r="D31" i="1"/>
  <c r="J34" i="2"/>
  <c r="J36" i="2" s="1"/>
  <c r="J37" i="2" s="1"/>
  <c r="J38" i="2" s="1"/>
  <c r="J25" i="2"/>
  <c r="M15" i="2"/>
  <c r="L16" i="2"/>
  <c r="K5" i="2"/>
  <c r="D24" i="1" s="1"/>
  <c r="K22" i="2"/>
  <c r="K24" i="2" s="1"/>
  <c r="D27" i="1" s="1"/>
  <c r="D9" i="6"/>
  <c r="F9" i="6" l="1"/>
  <c r="E39" i="2"/>
  <c r="E40" i="2" s="1"/>
  <c r="L5" i="2"/>
  <c r="L22" i="2"/>
  <c r="L24" i="2" s="1"/>
  <c r="K34" i="2"/>
  <c r="K36" i="2" s="1"/>
  <c r="K37" i="2" s="1"/>
  <c r="K38" i="2" s="1"/>
  <c r="D33" i="1"/>
  <c r="K25" i="2"/>
  <c r="N15" i="2"/>
  <c r="M16" i="2"/>
  <c r="L23" i="2"/>
  <c r="M18" i="2"/>
  <c r="D17" i="2"/>
  <c r="D26" i="2"/>
  <c r="D9" i="2"/>
  <c r="L34" i="2" l="1"/>
  <c r="L36" i="2" s="1"/>
  <c r="L37" i="2" s="1"/>
  <c r="L38" i="2" s="1"/>
  <c r="L25" i="2"/>
  <c r="G9" i="6"/>
  <c r="E10" i="6"/>
  <c r="D28" i="2"/>
  <c r="D27" i="2"/>
  <c r="M22" i="2"/>
  <c r="M24" i="2" s="1"/>
  <c r="M5" i="2"/>
  <c r="O15" i="2"/>
  <c r="N16" i="2"/>
  <c r="D11" i="2"/>
  <c r="D10" i="2"/>
  <c r="N18" i="2"/>
  <c r="M23" i="2"/>
  <c r="M34" i="2" l="1"/>
  <c r="M36" i="2" s="1"/>
  <c r="M37" i="2" s="1"/>
  <c r="M38" i="2" s="1"/>
  <c r="M25" i="2"/>
  <c r="N23" i="2"/>
  <c r="O18" i="2"/>
  <c r="O16" i="2"/>
  <c r="P15" i="2"/>
  <c r="N5" i="2"/>
  <c r="N22" i="2"/>
  <c r="N24" i="2" s="1"/>
  <c r="D10" i="6"/>
  <c r="H9" i="6"/>
  <c r="J9" i="6" s="1"/>
  <c r="E6" i="2"/>
  <c r="F10" i="6" l="1"/>
  <c r="F39" i="2"/>
  <c r="F40" i="2" s="1"/>
  <c r="N34" i="2"/>
  <c r="N36" i="2" s="1"/>
  <c r="N37" i="2" s="1"/>
  <c r="N38" i="2" s="1"/>
  <c r="N25" i="2"/>
  <c r="E26" i="2"/>
  <c r="E17" i="2"/>
  <c r="E9" i="2"/>
  <c r="P16" i="2"/>
  <c r="Q15" i="2"/>
  <c r="O5" i="2"/>
  <c r="O22" i="2"/>
  <c r="O24" i="2" s="1"/>
  <c r="P18" i="2"/>
  <c r="O23" i="2"/>
  <c r="E11" i="2" l="1"/>
  <c r="E10" i="2"/>
  <c r="E31" i="1"/>
  <c r="P23" i="2"/>
  <c r="Q18" i="2"/>
  <c r="E28" i="2"/>
  <c r="E27" i="2"/>
  <c r="O34" i="2"/>
  <c r="O36" i="2" s="1"/>
  <c r="O37" i="2" s="1"/>
  <c r="O38" i="2" s="1"/>
  <c r="O25" i="2"/>
  <c r="R15" i="2"/>
  <c r="Q16" i="2"/>
  <c r="P5" i="2"/>
  <c r="E24" i="1" s="1"/>
  <c r="P22" i="2"/>
  <c r="P24" i="2" s="1"/>
  <c r="E27" i="1" s="1"/>
  <c r="G10" i="6"/>
  <c r="E11" i="6"/>
  <c r="Q23" i="2" l="1"/>
  <c r="R18" i="2"/>
  <c r="D11" i="6"/>
  <c r="Q22" i="2"/>
  <c r="Q24" i="2" s="1"/>
  <c r="Q5" i="2"/>
  <c r="E33" i="1"/>
  <c r="P34" i="2"/>
  <c r="P36" i="2" s="1"/>
  <c r="P37" i="2" s="1"/>
  <c r="P38" i="2" s="1"/>
  <c r="P25" i="2"/>
  <c r="F6" i="2"/>
  <c r="H10" i="6"/>
  <c r="J10" i="6" s="1"/>
  <c r="R16" i="2"/>
  <c r="S15" i="2"/>
  <c r="R5" i="2" l="1"/>
  <c r="R22" i="2"/>
  <c r="R24" i="2" s="1"/>
  <c r="S18" i="2"/>
  <c r="R23" i="2"/>
  <c r="Q34" i="2"/>
  <c r="Q36" i="2" s="1"/>
  <c r="Q37" i="2" s="1"/>
  <c r="Q38" i="2" s="1"/>
  <c r="Q25" i="2"/>
  <c r="C25" i="1"/>
  <c r="F17" i="2"/>
  <c r="C30" i="1" s="1"/>
  <c r="F26" i="2"/>
  <c r="F9" i="2"/>
  <c r="G39" i="2"/>
  <c r="G40" i="2" s="1"/>
  <c r="F11" i="6"/>
  <c r="S16" i="2"/>
  <c r="T15" i="2"/>
  <c r="S5" i="2" l="1"/>
  <c r="S22" i="2"/>
  <c r="S24" i="2" s="1"/>
  <c r="T18" i="2"/>
  <c r="S23" i="2"/>
  <c r="F11" i="2"/>
  <c r="C28" i="1" s="1"/>
  <c r="F10" i="2"/>
  <c r="F28" i="2"/>
  <c r="C34" i="1" s="1"/>
  <c r="F27" i="2"/>
  <c r="G11" i="6"/>
  <c r="E12" i="6"/>
  <c r="R34" i="2"/>
  <c r="R36" i="2" s="1"/>
  <c r="R37" i="2" s="1"/>
  <c r="R38" i="2" s="1"/>
  <c r="R25" i="2"/>
  <c r="U15" i="2"/>
  <c r="T16" i="2"/>
  <c r="H11" i="6" l="1"/>
  <c r="J11" i="6" s="1"/>
  <c r="G6" i="2"/>
  <c r="T5" i="2"/>
  <c r="T22" i="2"/>
  <c r="T24" i="2" s="1"/>
  <c r="S34" i="2"/>
  <c r="S36" i="2" s="1"/>
  <c r="S37" i="2" s="1"/>
  <c r="S38" i="2" s="1"/>
  <c r="S25" i="2"/>
  <c r="V15" i="2"/>
  <c r="U16" i="2"/>
  <c r="T23" i="2"/>
  <c r="U18" i="2"/>
  <c r="D12" i="6"/>
  <c r="V16" i="2" l="1"/>
  <c r="W15" i="2"/>
  <c r="F31" i="1"/>
  <c r="V18" i="2"/>
  <c r="U23" i="2"/>
  <c r="T34" i="2"/>
  <c r="T36" i="2" s="1"/>
  <c r="T37" i="2" s="1"/>
  <c r="T38" i="2" s="1"/>
  <c r="T25" i="2"/>
  <c r="F12" i="6"/>
  <c r="H39" i="2"/>
  <c r="H40" i="2" s="1"/>
  <c r="U22" i="2"/>
  <c r="U24" i="2" s="1"/>
  <c r="F27" i="1" s="1"/>
  <c r="U5" i="2"/>
  <c r="F24" i="1" s="1"/>
  <c r="G17" i="2"/>
  <c r="G26" i="2"/>
  <c r="G9" i="2"/>
  <c r="W18" i="2" l="1"/>
  <c r="V23" i="2"/>
  <c r="G12" i="6"/>
  <c r="E13" i="6"/>
  <c r="W16" i="2"/>
  <c r="X15" i="2"/>
  <c r="G28" i="2"/>
  <c r="G27" i="2"/>
  <c r="G11" i="2"/>
  <c r="G10" i="2"/>
  <c r="U34" i="2"/>
  <c r="U36" i="2" s="1"/>
  <c r="U37" i="2" s="1"/>
  <c r="U38" i="2" s="1"/>
  <c r="F33" i="1"/>
  <c r="U25" i="2"/>
  <c r="V5" i="2"/>
  <c r="V22" i="2"/>
  <c r="V24" i="2" s="1"/>
  <c r="X16" i="2" l="1"/>
  <c r="Y15" i="2"/>
  <c r="H6" i="2"/>
  <c r="H12" i="6"/>
  <c r="J12" i="6" s="1"/>
  <c r="D13" i="6"/>
  <c r="W5" i="2"/>
  <c r="W22" i="2"/>
  <c r="W24" i="2" s="1"/>
  <c r="V34" i="2"/>
  <c r="V36" i="2" s="1"/>
  <c r="V37" i="2" s="1"/>
  <c r="V38" i="2" s="1"/>
  <c r="V25" i="2"/>
  <c r="W23" i="2"/>
  <c r="X18" i="2"/>
  <c r="X5" i="2" l="1"/>
  <c r="X22" i="2"/>
  <c r="X24" i="2" s="1"/>
  <c r="X23" i="2"/>
  <c r="Y18" i="2"/>
  <c r="W34" i="2"/>
  <c r="W36" i="2" s="1"/>
  <c r="W37" i="2" s="1"/>
  <c r="W38" i="2" s="1"/>
  <c r="W25" i="2"/>
  <c r="H17" i="2"/>
  <c r="H26" i="2"/>
  <c r="H9" i="2"/>
  <c r="F13" i="6"/>
  <c r="I39" i="2"/>
  <c r="I40" i="2" s="1"/>
  <c r="Z15" i="2"/>
  <c r="Y16" i="2"/>
  <c r="G13" i="6" l="1"/>
  <c r="E14" i="6"/>
  <c r="Y22" i="2"/>
  <c r="Y24" i="2" s="1"/>
  <c r="Y5" i="2"/>
  <c r="Y23" i="2"/>
  <c r="Z18" i="2"/>
  <c r="H11" i="2"/>
  <c r="H10" i="2"/>
  <c r="X25" i="2"/>
  <c r="X34" i="2"/>
  <c r="X36" i="2" s="1"/>
  <c r="X37" i="2" s="1"/>
  <c r="X38" i="2" s="1"/>
  <c r="AA15" i="2"/>
  <c r="Z16" i="2"/>
  <c r="H28" i="2"/>
  <c r="H27" i="2"/>
  <c r="D14" i="6" l="1"/>
  <c r="I6" i="2"/>
  <c r="H13" i="6"/>
  <c r="J13" i="6" s="1"/>
  <c r="Z23" i="2"/>
  <c r="AA18" i="2"/>
  <c r="Z22" i="2"/>
  <c r="Z24" i="2" s="1"/>
  <c r="Z5" i="2"/>
  <c r="Y34" i="2"/>
  <c r="Y36" i="2" s="1"/>
  <c r="Y37" i="2" s="1"/>
  <c r="Y38" i="2" s="1"/>
  <c r="Y25" i="2"/>
  <c r="AB15" i="2"/>
  <c r="AA16" i="2"/>
  <c r="AA23" i="2" l="1"/>
  <c r="AB18" i="2"/>
  <c r="F14" i="6"/>
  <c r="J39" i="2"/>
  <c r="J40" i="2" s="1"/>
  <c r="Z34" i="2"/>
  <c r="Z36" i="2" s="1"/>
  <c r="Z37" i="2" s="1"/>
  <c r="Z38" i="2" s="1"/>
  <c r="Z25" i="2"/>
  <c r="AC15" i="2"/>
  <c r="AB16" i="2"/>
  <c r="AA5" i="2"/>
  <c r="AA22" i="2"/>
  <c r="AA24" i="2" s="1"/>
  <c r="I17" i="2"/>
  <c r="I26" i="2"/>
  <c r="I9" i="2"/>
  <c r="AD15" i="2" l="1"/>
  <c r="AC16" i="2"/>
  <c r="AA34" i="2"/>
  <c r="AA36" i="2" s="1"/>
  <c r="AA37" i="2" s="1"/>
  <c r="AA38" i="2" s="1"/>
  <c r="AA25" i="2"/>
  <c r="I11" i="2"/>
  <c r="I10" i="2"/>
  <c r="I28" i="2"/>
  <c r="I27" i="2"/>
  <c r="G14" i="6"/>
  <c r="E15" i="6"/>
  <c r="AB5" i="2"/>
  <c r="AB22" i="2"/>
  <c r="AB24" i="2" s="1"/>
  <c r="AB23" i="2"/>
  <c r="AC18" i="2"/>
  <c r="AB25" i="2" l="1"/>
  <c r="AB34" i="2"/>
  <c r="AB36" i="2" s="1"/>
  <c r="AB37" i="2" s="1"/>
  <c r="AB38" i="2" s="1"/>
  <c r="AC22" i="2"/>
  <c r="AC24" i="2" s="1"/>
  <c r="AC5" i="2"/>
  <c r="J6" i="2"/>
  <c r="H14" i="6"/>
  <c r="J14" i="6" s="1"/>
  <c r="AC23" i="2"/>
  <c r="AD18" i="2"/>
  <c r="D15" i="6"/>
  <c r="AE15" i="2"/>
  <c r="AE16" i="2" s="1"/>
  <c r="AD16" i="2"/>
  <c r="AE22" i="2" l="1"/>
  <c r="AD22" i="2"/>
  <c r="AD24" i="2" s="1"/>
  <c r="AD5" i="2"/>
  <c r="F15" i="6"/>
  <c r="K39" i="2"/>
  <c r="K40" i="2" s="1"/>
  <c r="J26" i="2"/>
  <c r="J17" i="2"/>
  <c r="J9" i="2"/>
  <c r="AE18" i="2"/>
  <c r="AD23" i="2"/>
  <c r="AC34" i="2"/>
  <c r="AC36" i="2" s="1"/>
  <c r="AC37" i="2" s="1"/>
  <c r="AC38" i="2" s="1"/>
  <c r="AC25" i="2"/>
  <c r="AE23" i="2" l="1"/>
  <c r="G31" i="1"/>
  <c r="AD34" i="2"/>
  <c r="AD36" i="2" s="1"/>
  <c r="AD37" i="2" s="1"/>
  <c r="AD38" i="2" s="1"/>
  <c r="AD25" i="2"/>
  <c r="J28" i="2"/>
  <c r="J27" i="2"/>
  <c r="AE24" i="2"/>
  <c r="G27" i="1" s="1"/>
  <c r="J11" i="2"/>
  <c r="J10" i="2"/>
  <c r="G15" i="6"/>
  <c r="E16" i="6"/>
  <c r="AE5" i="2"/>
  <c r="G24" i="1" s="1"/>
  <c r="H15" i="6" l="1"/>
  <c r="J15" i="6" s="1"/>
  <c r="K6" i="2"/>
  <c r="D16" i="6"/>
  <c r="AE25" i="2"/>
  <c r="G33" i="1"/>
  <c r="AE34" i="2"/>
  <c r="AE36" i="2" s="1"/>
  <c r="AE37" i="2" s="1"/>
  <c r="AE38" i="2" s="1"/>
  <c r="F16" i="6" l="1"/>
  <c r="L39" i="2"/>
  <c r="L40" i="2" s="1"/>
  <c r="D25" i="1"/>
  <c r="K26" i="2"/>
  <c r="K17" i="2"/>
  <c r="D30" i="1" s="1"/>
  <c r="K9" i="2"/>
  <c r="K28" i="2" l="1"/>
  <c r="D34" i="1" s="1"/>
  <c r="K27" i="2"/>
  <c r="K11" i="2"/>
  <c r="D28" i="1" s="1"/>
  <c r="K10" i="2"/>
  <c r="G16" i="6"/>
  <c r="E17" i="6"/>
  <c r="L6" i="2" l="1"/>
  <c r="H16" i="6"/>
  <c r="J16" i="6" s="1"/>
  <c r="D17" i="6"/>
  <c r="M39" i="2" l="1"/>
  <c r="M40" i="2" s="1"/>
  <c r="F17" i="6"/>
  <c r="L26" i="2"/>
  <c r="L17" i="2"/>
  <c r="L9" i="2"/>
  <c r="L28" i="2" l="1"/>
  <c r="L27" i="2"/>
  <c r="G17" i="6"/>
  <c r="E18" i="6"/>
  <c r="L11" i="2"/>
  <c r="L10" i="2"/>
  <c r="D18" i="6" l="1"/>
  <c r="H17" i="6"/>
  <c r="J17" i="6" s="1"/>
  <c r="M6" i="2"/>
  <c r="M26" i="2" l="1"/>
  <c r="M17" i="2"/>
  <c r="M9" i="2"/>
  <c r="N39" i="2"/>
  <c r="N40" i="2" s="1"/>
  <c r="F18" i="6"/>
  <c r="M11" i="2" l="1"/>
  <c r="M10" i="2"/>
  <c r="G18" i="6"/>
  <c r="E19" i="6"/>
  <c r="M28" i="2"/>
  <c r="M27" i="2"/>
  <c r="D19" i="6" l="1"/>
  <c r="N6" i="2"/>
  <c r="H18" i="6"/>
  <c r="J18" i="6" s="1"/>
  <c r="N26" i="2" l="1"/>
  <c r="N17" i="2"/>
  <c r="N9" i="2"/>
  <c r="F19" i="6"/>
  <c r="O39" i="2"/>
  <c r="O40" i="2" s="1"/>
  <c r="G19" i="6" l="1"/>
  <c r="E20" i="6"/>
  <c r="N28" i="2"/>
  <c r="N27" i="2"/>
  <c r="N11" i="2"/>
  <c r="N10" i="2"/>
  <c r="H19" i="6" l="1"/>
  <c r="J19" i="6" s="1"/>
  <c r="O6" i="2"/>
  <c r="D20" i="6"/>
  <c r="F20" i="6" l="1"/>
  <c r="P39" i="2"/>
  <c r="P40" i="2" s="1"/>
  <c r="O26" i="2"/>
  <c r="O17" i="2"/>
  <c r="O9" i="2"/>
  <c r="O11" i="2" l="1"/>
  <c r="O10" i="2"/>
  <c r="O28" i="2"/>
  <c r="O27" i="2"/>
  <c r="G20" i="6"/>
  <c r="E21" i="6"/>
  <c r="D21" i="6" l="1"/>
  <c r="P6" i="2"/>
  <c r="H20" i="6"/>
  <c r="J20" i="6" s="1"/>
  <c r="E25" i="1" l="1"/>
  <c r="P26" i="2"/>
  <c r="P17" i="2"/>
  <c r="E30" i="1" s="1"/>
  <c r="P9" i="2"/>
  <c r="Q39" i="2"/>
  <c r="Q40" i="2" s="1"/>
  <c r="F21" i="6"/>
  <c r="P11" i="2" l="1"/>
  <c r="E28" i="1" s="1"/>
  <c r="P10" i="2"/>
  <c r="G21" i="6"/>
  <c r="E22" i="6"/>
  <c r="P28" i="2"/>
  <c r="E34" i="1" s="1"/>
  <c r="P27" i="2"/>
  <c r="Q6" i="2" l="1"/>
  <c r="H21" i="6"/>
  <c r="J21" i="6" s="1"/>
  <c r="D22" i="6"/>
  <c r="F22" i="6" l="1"/>
  <c r="R39" i="2"/>
  <c r="R40" i="2" s="1"/>
  <c r="Q26" i="2"/>
  <c r="Q17" i="2"/>
  <c r="Q9" i="2"/>
  <c r="Q28" i="2" l="1"/>
  <c r="Q27" i="2"/>
  <c r="Q11" i="2"/>
  <c r="Q10" i="2"/>
  <c r="G22" i="6"/>
  <c r="E23" i="6"/>
  <c r="H22" i="6" l="1"/>
  <c r="J22" i="6" s="1"/>
  <c r="R6" i="2"/>
  <c r="D23" i="6"/>
  <c r="S39" i="2" l="1"/>
  <c r="S40" i="2" s="1"/>
  <c r="F23" i="6"/>
  <c r="R26" i="2"/>
  <c r="R17" i="2"/>
  <c r="R9" i="2"/>
  <c r="R28" i="2" l="1"/>
  <c r="R27" i="2"/>
  <c r="G23" i="6"/>
  <c r="E24" i="6"/>
  <c r="R11" i="2"/>
  <c r="R10" i="2"/>
  <c r="S6" i="2" l="1"/>
  <c r="H23" i="6"/>
  <c r="J23" i="6" s="1"/>
  <c r="D24" i="6"/>
  <c r="F24" i="6" l="1"/>
  <c r="T39" i="2"/>
  <c r="T40" i="2" s="1"/>
  <c r="S26" i="2"/>
  <c r="S17" i="2"/>
  <c r="S9" i="2"/>
  <c r="S28" i="2" l="1"/>
  <c r="S27" i="2"/>
  <c r="S11" i="2"/>
  <c r="S10" i="2"/>
  <c r="G24" i="6"/>
  <c r="E25" i="6"/>
  <c r="H24" i="6" l="1"/>
  <c r="J24" i="6" s="1"/>
  <c r="T6" i="2"/>
  <c r="D25" i="6"/>
  <c r="U39" i="2" l="1"/>
  <c r="U40" i="2" s="1"/>
  <c r="F25" i="6"/>
  <c r="T26" i="2"/>
  <c r="T17" i="2"/>
  <c r="T9" i="2"/>
  <c r="T28" i="2" l="1"/>
  <c r="T27" i="2"/>
  <c r="G25" i="6"/>
  <c r="E26" i="6"/>
  <c r="T11" i="2"/>
  <c r="T10" i="2"/>
  <c r="U6" i="2" l="1"/>
  <c r="H25" i="6"/>
  <c r="J25" i="6" s="1"/>
  <c r="D26" i="6"/>
  <c r="V39" i="2" l="1"/>
  <c r="V40" i="2" s="1"/>
  <c r="F26" i="6"/>
  <c r="U26" i="2"/>
  <c r="F25" i="1"/>
  <c r="U17" i="2"/>
  <c r="F30" i="1" s="1"/>
  <c r="U9" i="2"/>
  <c r="U28" i="2" l="1"/>
  <c r="F34" i="1" s="1"/>
  <c r="U27" i="2"/>
  <c r="U11" i="2"/>
  <c r="F28" i="1" s="1"/>
  <c r="U10" i="2"/>
  <c r="G26" i="6"/>
  <c r="E27" i="6"/>
  <c r="V6" i="2" l="1"/>
  <c r="H26" i="6"/>
  <c r="J26" i="6" s="1"/>
  <c r="D27" i="6"/>
  <c r="F27" i="6" l="1"/>
  <c r="W39" i="2"/>
  <c r="W40" i="2" s="1"/>
  <c r="V17" i="2"/>
  <c r="V26" i="2"/>
  <c r="V9" i="2"/>
  <c r="V28" i="2" l="1"/>
  <c r="V27" i="2"/>
  <c r="V11" i="2"/>
  <c r="V10" i="2"/>
  <c r="G27" i="6"/>
  <c r="E28" i="6"/>
  <c r="D28" i="6" l="1"/>
  <c r="H27" i="6"/>
  <c r="J27" i="6" s="1"/>
  <c r="W6" i="2"/>
  <c r="W26" i="2" l="1"/>
  <c r="W17" i="2"/>
  <c r="W9" i="2"/>
  <c r="X39" i="2"/>
  <c r="X40" i="2" s="1"/>
  <c r="F28" i="6"/>
  <c r="G28" i="6" l="1"/>
  <c r="E29" i="6"/>
  <c r="W28" i="2"/>
  <c r="W27" i="2"/>
  <c r="W11" i="2"/>
  <c r="W10" i="2"/>
  <c r="X6" i="2" l="1"/>
  <c r="H28" i="6"/>
  <c r="J28" i="6" s="1"/>
  <c r="D29" i="6"/>
  <c r="Y39" i="2" l="1"/>
  <c r="Y40" i="2" s="1"/>
  <c r="F29" i="6"/>
  <c r="X26" i="2"/>
  <c r="X17" i="2"/>
  <c r="X9" i="2"/>
  <c r="X11" i="2" l="1"/>
  <c r="X10" i="2"/>
  <c r="X28" i="2"/>
  <c r="X27" i="2"/>
  <c r="G29" i="6"/>
  <c r="E30" i="6"/>
  <c r="Y6" i="2" l="1"/>
  <c r="H29" i="6"/>
  <c r="J29" i="6" s="1"/>
  <c r="D30" i="6"/>
  <c r="Y26" i="2" l="1"/>
  <c r="Y17" i="2"/>
  <c r="Y9" i="2"/>
  <c r="F30" i="6"/>
  <c r="Z39" i="2"/>
  <c r="Z40" i="2" s="1"/>
  <c r="G30" i="6" l="1"/>
  <c r="E31" i="6"/>
  <c r="Y28" i="2"/>
  <c r="Y27" i="2"/>
  <c r="Y11" i="2"/>
  <c r="Y10" i="2"/>
  <c r="D31" i="6" l="1"/>
  <c r="Z6" i="2"/>
  <c r="H30" i="6"/>
  <c r="J30" i="6" s="1"/>
  <c r="Z26" i="2" l="1"/>
  <c r="Z17" i="2"/>
  <c r="Z9" i="2"/>
  <c r="F31" i="6"/>
  <c r="AA39" i="2"/>
  <c r="AA40" i="2" s="1"/>
  <c r="G31" i="6" l="1"/>
  <c r="E32" i="6"/>
  <c r="Z11" i="2"/>
  <c r="Z10" i="2"/>
  <c r="Z28" i="2"/>
  <c r="Z27" i="2"/>
  <c r="H31" i="6" l="1"/>
  <c r="J31" i="6" s="1"/>
  <c r="AA6" i="2"/>
  <c r="D32" i="6"/>
  <c r="AA26" i="2" l="1"/>
  <c r="AA17" i="2"/>
  <c r="AA9" i="2"/>
  <c r="AB39" i="2"/>
  <c r="AB40" i="2" s="1"/>
  <c r="F32" i="6"/>
  <c r="AA11" i="2" l="1"/>
  <c r="AA10" i="2"/>
  <c r="G32" i="6"/>
  <c r="E33" i="6"/>
  <c r="AA28" i="2"/>
  <c r="AA27" i="2"/>
  <c r="D33" i="6" l="1"/>
  <c r="H32" i="6"/>
  <c r="J32" i="6" s="1"/>
  <c r="AB6" i="2"/>
  <c r="F33" i="6" l="1"/>
  <c r="AC39" i="2"/>
  <c r="AC40" i="2" s="1"/>
  <c r="AB26" i="2"/>
  <c r="AB17" i="2"/>
  <c r="AB9" i="2"/>
  <c r="AB28" i="2" l="1"/>
  <c r="AB27" i="2"/>
  <c r="AB11" i="2"/>
  <c r="AB10" i="2"/>
  <c r="G33" i="6"/>
  <c r="E34" i="6"/>
  <c r="D34" i="6" l="1"/>
  <c r="AC6" i="2"/>
  <c r="H33" i="6"/>
  <c r="J33" i="6" s="1"/>
  <c r="AC17" i="2" l="1"/>
  <c r="AC26" i="2"/>
  <c r="AC9" i="2"/>
  <c r="F34" i="6"/>
  <c r="AD39" i="2"/>
  <c r="AD40" i="2" s="1"/>
  <c r="AC11" i="2" l="1"/>
  <c r="AC10" i="2"/>
  <c r="AC28" i="2"/>
  <c r="AC27" i="2"/>
  <c r="G34" i="6"/>
  <c r="E35" i="6"/>
  <c r="D35" i="6" s="1"/>
  <c r="F35" i="6" l="1"/>
  <c r="G35" i="6" s="1"/>
  <c r="AE39" i="2"/>
  <c r="AE40" i="2" s="1"/>
  <c r="H34" i="6"/>
  <c r="J34" i="6" s="1"/>
  <c r="AD6" i="2"/>
  <c r="AE6" i="2" l="1"/>
  <c r="H35" i="6"/>
  <c r="J35" i="6" s="1"/>
  <c r="AD26" i="2"/>
  <c r="AD17" i="2"/>
  <c r="AD9" i="2"/>
  <c r="AD28" i="2" l="1"/>
  <c r="AD27" i="2"/>
  <c r="AD11" i="2"/>
  <c r="AD10" i="2"/>
  <c r="G25" i="1"/>
  <c r="AE26" i="2"/>
  <c r="AE17" i="2"/>
  <c r="G30" i="1" s="1"/>
  <c r="AE9" i="2"/>
  <c r="AE11" i="2" s="1"/>
  <c r="G28" i="1" s="1"/>
  <c r="AE10" i="2" l="1"/>
  <c r="AE28" i="2"/>
  <c r="G34" i="1" s="1"/>
  <c r="AE27" i="2"/>
</calcChain>
</file>

<file path=xl/sharedStrings.xml><?xml version="1.0" encoding="utf-8"?>
<sst xmlns="http://schemas.openxmlformats.org/spreadsheetml/2006/main" count="150" uniqueCount="137">
  <si>
    <t>El forbrug:</t>
  </si>
  <si>
    <t>procent</t>
  </si>
  <si>
    <t>kr.</t>
  </si>
  <si>
    <t>kWh</t>
  </si>
  <si>
    <t>El produktion pr. år i kr.</t>
  </si>
  <si>
    <t>Netto ydelse på lån</t>
  </si>
  <si>
    <t>År 1</t>
  </si>
  <si>
    <t>År 2</t>
  </si>
  <si>
    <t>År 5</t>
  </si>
  <si>
    <t>År 10</t>
  </si>
  <si>
    <t>År 15</t>
  </si>
  <si>
    <t>År 20</t>
  </si>
  <si>
    <t>År 21</t>
  </si>
  <si>
    <t>Årlig besparelse</t>
  </si>
  <si>
    <t>Samlet besparelse</t>
  </si>
  <si>
    <t>År 3</t>
  </si>
  <si>
    <t>År 4</t>
  </si>
  <si>
    <t>År 6</t>
  </si>
  <si>
    <t>År 7</t>
  </si>
  <si>
    <t>År 8</t>
  </si>
  <si>
    <t>År 9</t>
  </si>
  <si>
    <t>År 11</t>
  </si>
  <si>
    <t>År 12</t>
  </si>
  <si>
    <t>År 13</t>
  </si>
  <si>
    <t>År 14</t>
  </si>
  <si>
    <t>År 16</t>
  </si>
  <si>
    <t>År 17</t>
  </si>
  <si>
    <t>År 18</t>
  </si>
  <si>
    <t>År 19</t>
  </si>
  <si>
    <t>År 22</t>
  </si>
  <si>
    <t>År 23</t>
  </si>
  <si>
    <t>År 24</t>
  </si>
  <si>
    <t>År 25</t>
  </si>
  <si>
    <t>Produceret kwh</t>
  </si>
  <si>
    <t>Pris på el fra el-nettet</t>
  </si>
  <si>
    <t>Pris på solcelle kwh</t>
  </si>
  <si>
    <t>El-omk uden solceller</t>
  </si>
  <si>
    <t>El-omk med solceller</t>
  </si>
  <si>
    <t>Besparelse</t>
  </si>
  <si>
    <t>Låne omkostninger</t>
  </si>
  <si>
    <t>Ekstra likviditet</t>
  </si>
  <si>
    <t>Inflation</t>
  </si>
  <si>
    <t>Tilbagediskonteringsfaktor</t>
  </si>
  <si>
    <t>Samlede omk til solcel</t>
  </si>
  <si>
    <t>Akk. Bespareklse NV</t>
  </si>
  <si>
    <t>Figuren viser at der de første 6-9 år er et likviditets underskud.</t>
  </si>
  <si>
    <t>Dvs. at afdragene på gælden er større end den årlige besparelse.</t>
  </si>
  <si>
    <t>Set over 25 år, er der dog tale om en positiv opsparing.</t>
  </si>
  <si>
    <t>Dvs. investeringen har en positiv nutidsværdi.</t>
  </si>
  <si>
    <t>Figuren viser hvorledes el-udgiften udvikler sig med og uden solceller</t>
  </si>
  <si>
    <t>Den grønne kurve er mest interesant sammenholdt med den røde, ide den viser</t>
  </si>
  <si>
    <t>at efter få år, er det billigere at benytte sig egenproduceret solcellestrøm, når der er taget højde for lån</t>
  </si>
  <si>
    <t>Figuren viser prisen på en produceret kWh med solceller og prisen hvis der købes strøm fra nettet.</t>
  </si>
  <si>
    <t>Rente</t>
  </si>
  <si>
    <t>år.</t>
  </si>
  <si>
    <t>Størrelse på lån</t>
  </si>
  <si>
    <t>Brutto besparelse</t>
  </si>
  <si>
    <t>Årlig ydelse</t>
  </si>
  <si>
    <t>Netto besparelse</t>
  </si>
  <si>
    <t>Ydelse på lån</t>
  </si>
  <si>
    <t>Lån primo</t>
  </si>
  <si>
    <t>Afdrag</t>
  </si>
  <si>
    <t>Netto</t>
  </si>
  <si>
    <t>År 26</t>
  </si>
  <si>
    <t>År 27</t>
  </si>
  <si>
    <t>År 28</t>
  </si>
  <si>
    <t>År 29</t>
  </si>
  <si>
    <t>År</t>
  </si>
  <si>
    <t>År 30</t>
  </si>
  <si>
    <t>Beregning af lån</t>
  </si>
  <si>
    <t>kWh pris ved egenproduktion</t>
  </si>
  <si>
    <t>kwWh pris ved køb fra el-nettet</t>
  </si>
  <si>
    <t>Netto inkl. konstant</t>
  </si>
  <si>
    <t>Låne information:</t>
  </si>
  <si>
    <t>Hvad er dit årlige el forbrug</t>
  </si>
  <si>
    <t>Hvad betaler du i dag for én Kwh</t>
  </si>
  <si>
    <t>Hvad er din forventning til prisudviklingen på el</t>
  </si>
  <si>
    <t>procent pr. år</t>
  </si>
  <si>
    <t>Hvad er den forventet pris på solcelleanlæget</t>
  </si>
  <si>
    <t>Hvor stort et solcelleanlæg ønsker du</t>
  </si>
  <si>
    <t>Hvilken rentesats regner du med</t>
  </si>
  <si>
    <t>Resultatet i tal</t>
  </si>
  <si>
    <t xml:space="preserve">Beregningsforudsætninger:                                                                                                                                                                                                                                                          </t>
  </si>
  <si>
    <t>• Der er ikke taget højde for evt. omkostninger eller kurstab.</t>
  </si>
  <si>
    <t>• Der er regnet med, at du kan finansiere anlægget inden for 80 pct. af husets værdi.</t>
  </si>
  <si>
    <t>• Der er regnet med at solcellerne degenerer med 0,5 % om året. Det vil sige at produktionen falder med tiden.</t>
  </si>
  <si>
    <t>Rentefradragsprocent</t>
  </si>
  <si>
    <t>Forbehold</t>
  </si>
  <si>
    <t>anslået vedligehold - udskiftning af vekselrate</t>
  </si>
  <si>
    <t>"omk." udskiftning af vekselrate</t>
  </si>
  <si>
    <t>Omk. til udskiftning af vekselrate</t>
  </si>
  <si>
    <t>beregnet ud fra købssummen</t>
  </si>
  <si>
    <t>• Solcelleforeningen estimerer levetiden for et solcelleanlæg til 30 år.</t>
  </si>
  <si>
    <t>• Der er regnet med en samlet vedligeholdelse på 12 % af investeringen - optjent i løbet af de første 15 år</t>
  </si>
  <si>
    <t>Værdi af elproduktion pr. år i kr.</t>
  </si>
  <si>
    <t>• At overskydende produktion af el sælges tilbage til nettet "netto afregnings ordningen"</t>
  </si>
  <si>
    <t>Som privatperson må man ikke opsætte anlæg større end 6 kWp, svarende til 5.500 kWh.</t>
  </si>
  <si>
    <t>Solcelleanlæg fylder typisk fra 10 - 50 m2, og udnyttes bedst ved placering syd (+/- 30 grader) i</t>
  </si>
  <si>
    <t xml:space="preserve">en hældning på 30-60 grader. </t>
  </si>
  <si>
    <t>OBS</t>
  </si>
  <si>
    <t>Akkumuleret besparelse NV</t>
  </si>
  <si>
    <t>Opsparing til vedligehold</t>
  </si>
  <si>
    <t>Rest betaling til elselskabet pr. år</t>
  </si>
  <si>
    <t>Vælg lånets afviklingsperiode (10-20-30 år)</t>
  </si>
  <si>
    <t>Degenereings hastigheden</t>
  </si>
  <si>
    <t>Samlede akkumuleredede omk. til el med solceller</t>
  </si>
  <si>
    <t>Samlede akkumulerede omk. til el uden solceller</t>
  </si>
  <si>
    <t>Årlig forbrug, kwh</t>
  </si>
  <si>
    <t>Køb/salg af el v/solcelle, kwh</t>
  </si>
  <si>
    <t>Pris ved salg af el, kr/kwh</t>
  </si>
  <si>
    <t>SKAT</t>
  </si>
  <si>
    <t>Personlig beskatning</t>
  </si>
  <si>
    <t>Salg af el</t>
  </si>
  <si>
    <t>Bundfradrag</t>
  </si>
  <si>
    <t>Skat, %</t>
  </si>
  <si>
    <t>Beskatningsgrundlag</t>
  </si>
  <si>
    <t>Beløb der indtægtføres</t>
  </si>
  <si>
    <t>Beskattes med 42%</t>
  </si>
  <si>
    <t>Rentefradrag, 30%</t>
  </si>
  <si>
    <t>Skattegodtgørelse</t>
  </si>
  <si>
    <t xml:space="preserve"> </t>
  </si>
  <si>
    <t xml:space="preserve">SEGES Innovation tager forbehold for fejl og mangler i oplysninger og beregninger. Vi fraskriver os således ethvert ansvar for, at oplysningerne og beregningerne er korrekte. Du kan derfor ikke rette erstatningskrav mod SEGES Innovation på grund af tab, der måtte opstå som følge af dispositioner, der er truffet på baggrund af oplysningerne og/eller beregningerne.
</t>
  </si>
  <si>
    <t>Udgiver:</t>
  </si>
  <si>
    <t>SEGES Innovation P/S</t>
  </si>
  <si>
    <t>Udgivelsesdato:</t>
  </si>
  <si>
    <t>Forfatter:</t>
  </si>
  <si>
    <t>Karen Jørgensen</t>
  </si>
  <si>
    <t>Version:</t>
  </si>
  <si>
    <t>1.0</t>
  </si>
  <si>
    <t>Datagrundlag og opdateringsfrekvens:</t>
  </si>
  <si>
    <t>Opdateres ikke</t>
  </si>
  <si>
    <t>Dokument:</t>
  </si>
  <si>
    <t>Sådan bruge du investeringsoversigten</t>
  </si>
  <si>
    <t>Ansvar:</t>
  </si>
  <si>
    <t>Se vilkår</t>
  </si>
  <si>
    <t>Solceller på tag - Indtast dine tal i gule celler</t>
  </si>
  <si>
    <t>Regneark vedr. solceller. Regnearket giver et bud på økonomien ved investering i solcelleanlæg ud fra en række forudsætninger og beregninger.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</si>
</sst>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 #,##0.00;[Red]&quot;kr.&quot;\ \-#,##0.00"/>
    <numFmt numFmtId="165" formatCode="_ * #,##0.00_ ;_ * \-#,##0.00_ ;_ * &quot;-&quot;??_ ;_ @_ "/>
    <numFmt numFmtId="166" formatCode="0.000"/>
  </numFmts>
  <fonts count="27" x14ac:knownFonts="1">
    <font>
      <sz val="11"/>
      <color theme="1"/>
      <name val="Calibri"/>
      <family val="2"/>
      <scheme val="minor"/>
    </font>
    <font>
      <b/>
      <sz val="10"/>
      <name val="Arial"/>
      <family val="2"/>
    </font>
    <font>
      <sz val="10"/>
      <name val="Arial"/>
      <family val="2"/>
    </font>
    <font>
      <sz val="11"/>
      <color indexed="8"/>
      <name val="Calibri"/>
      <family val="2"/>
    </font>
    <font>
      <sz val="8"/>
      <name val="Calibri"/>
      <family val="2"/>
    </font>
    <font>
      <sz val="11"/>
      <color indexed="8"/>
      <name val="Verdana"/>
      <family val="2"/>
    </font>
    <font>
      <b/>
      <sz val="11"/>
      <color indexed="9"/>
      <name val="Verdana"/>
      <family val="2"/>
    </font>
    <font>
      <sz val="11"/>
      <color indexed="9"/>
      <name val="Verdana"/>
      <family val="2"/>
    </font>
    <font>
      <sz val="10"/>
      <color indexed="8"/>
      <name val="Verdana"/>
      <family val="2"/>
    </font>
    <font>
      <sz val="8"/>
      <color indexed="8"/>
      <name val="Verdana"/>
      <family val="2"/>
    </font>
    <font>
      <sz val="11"/>
      <color indexed="9"/>
      <name val="Calibri"/>
      <family val="2"/>
    </font>
    <font>
      <b/>
      <u/>
      <sz val="11"/>
      <name val="Verdana"/>
      <family val="2"/>
    </font>
    <font>
      <sz val="11"/>
      <name val="Verdana"/>
      <family val="2"/>
    </font>
    <font>
      <b/>
      <sz val="11"/>
      <name val="Verdana"/>
      <family val="2"/>
    </font>
    <font>
      <sz val="10"/>
      <name val="Verdana"/>
      <family val="2"/>
    </font>
    <font>
      <sz val="9"/>
      <name val="Verdana"/>
      <family val="2"/>
    </font>
    <font>
      <sz val="9"/>
      <name val="Calibri"/>
      <family val="2"/>
    </font>
    <font>
      <sz val="11"/>
      <name val="Calibri"/>
      <family val="2"/>
    </font>
    <font>
      <sz val="11"/>
      <color theme="1"/>
      <name val="Calibri"/>
      <family val="2"/>
      <scheme val="minor"/>
    </font>
    <font>
      <sz val="11"/>
      <color theme="1" tint="0.499984740745262"/>
      <name val="Verdana"/>
      <family val="2"/>
    </font>
    <font>
      <sz val="10"/>
      <color theme="1" tint="0.499984740745262"/>
      <name val="Verdana"/>
      <family val="2"/>
    </font>
    <font>
      <b/>
      <sz val="11"/>
      <color theme="1"/>
      <name val="Calibri"/>
      <family val="2"/>
      <scheme val="minor"/>
    </font>
    <font>
      <b/>
      <i/>
      <sz val="11"/>
      <color theme="1"/>
      <name val="Calibri"/>
      <family val="2"/>
      <scheme val="minor"/>
    </font>
    <font>
      <sz val="11"/>
      <color theme="0"/>
      <name val="Calibri"/>
      <family val="2"/>
      <scheme val="minor"/>
    </font>
    <font>
      <b/>
      <sz val="18"/>
      <color theme="0"/>
      <name val="Verdana"/>
      <family val="2"/>
    </font>
    <font>
      <sz val="18"/>
      <color theme="0"/>
      <name val="Calibri"/>
      <family val="2"/>
      <scheme val="minor"/>
    </font>
    <font>
      <u/>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6EAF89"/>
        <bgColor indexed="64"/>
      </patternFill>
    </fill>
    <fill>
      <patternFill patternType="solid">
        <fgColor rgb="FFFFFF99"/>
        <bgColor indexed="64"/>
      </patternFill>
    </fill>
    <fill>
      <patternFill patternType="solid">
        <fgColor rgb="FFC8C7B2"/>
        <bgColor indexed="64"/>
      </patternFill>
    </fill>
  </fills>
  <borders count="13">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8" fillId="0" borderId="0" applyNumberFormat="0"/>
    <xf numFmtId="165" fontId="3" fillId="0" borderId="0" applyFont="0" applyFill="0" applyBorder="0" applyAlignment="0" applyProtection="0"/>
    <xf numFmtId="9" fontId="3" fillId="0" borderId="0" applyFont="0" applyFill="0" applyBorder="0" applyAlignment="0" applyProtection="0"/>
    <xf numFmtId="0" fontId="26" fillId="0" borderId="0" applyNumberFormat="0" applyFill="0" applyBorder="0" applyAlignment="0" applyProtection="0"/>
  </cellStyleXfs>
  <cellXfs count="88">
    <xf numFmtId="0" fontId="0" fillId="0" borderId="0" xfId="0"/>
    <xf numFmtId="2" fontId="3" fillId="0" borderId="0" xfId="3" applyNumberFormat="1" applyFont="1"/>
    <xf numFmtId="2" fontId="0" fillId="0" borderId="0" xfId="0" applyNumberFormat="1"/>
    <xf numFmtId="0" fontId="2" fillId="0" borderId="1" xfId="0" applyFont="1" applyBorder="1"/>
    <xf numFmtId="164" fontId="0" fillId="0" borderId="0" xfId="0" applyNumberFormat="1" applyBorder="1"/>
    <xf numFmtId="0" fontId="0" fillId="0" borderId="0" xfId="0" applyBorder="1"/>
    <xf numFmtId="164" fontId="0" fillId="0" borderId="1" xfId="0" applyNumberFormat="1" applyBorder="1"/>
    <xf numFmtId="0" fontId="2" fillId="0" borderId="0" xfId="0" applyFont="1" applyBorder="1"/>
    <xf numFmtId="164" fontId="0" fillId="0" borderId="2" xfId="0" applyNumberFormat="1" applyBorder="1"/>
    <xf numFmtId="2" fontId="0" fillId="0" borderId="3" xfId="0" applyNumberFormat="1" applyBorder="1"/>
    <xf numFmtId="2" fontId="0" fillId="0" borderId="4" xfId="0" applyNumberFormat="1" applyBorder="1" applyAlignment="1">
      <alignment horizontal="right"/>
    </xf>
    <xf numFmtId="2" fontId="3" fillId="0" borderId="0" xfId="2" applyNumberFormat="1" applyFont="1" applyBorder="1"/>
    <xf numFmtId="2" fontId="3" fillId="0" borderId="1" xfId="2" applyNumberFormat="1" applyFont="1" applyBorder="1"/>
    <xf numFmtId="2" fontId="3" fillId="0" borderId="0" xfId="2" applyNumberFormat="1" applyFont="1"/>
    <xf numFmtId="2" fontId="0" fillId="0" borderId="5" xfId="0" applyNumberFormat="1" applyBorder="1"/>
    <xf numFmtId="2" fontId="3" fillId="0" borderId="2" xfId="2" applyNumberFormat="1" applyFont="1" applyBorder="1"/>
    <xf numFmtId="2" fontId="0" fillId="0" borderId="0" xfId="0" applyNumberFormat="1" applyFill="1" applyBorder="1"/>
    <xf numFmtId="164" fontId="0" fillId="0" borderId="0" xfId="0" applyNumberFormat="1"/>
    <xf numFmtId="0" fontId="2" fillId="0" borderId="0" xfId="0" applyFont="1" applyFill="1" applyBorder="1"/>
    <xf numFmtId="0" fontId="5" fillId="2" borderId="0" xfId="0" applyFont="1" applyFill="1" applyBorder="1" applyProtection="1"/>
    <xf numFmtId="0" fontId="5" fillId="2" borderId="0" xfId="0" applyNumberFormat="1" applyFont="1" applyFill="1" applyBorder="1" applyProtection="1"/>
    <xf numFmtId="0" fontId="7" fillId="2" borderId="0" xfId="0" applyFont="1" applyFill="1" applyBorder="1" applyProtection="1"/>
    <xf numFmtId="0" fontId="5" fillId="0" borderId="0" xfId="0" applyFont="1" applyBorder="1" applyProtection="1"/>
    <xf numFmtId="0" fontId="8" fillId="2" borderId="0" xfId="0" applyFont="1" applyFill="1" applyBorder="1" applyProtection="1"/>
    <xf numFmtId="0" fontId="9" fillId="2" borderId="0" xfId="0" applyFont="1" applyFill="1" applyBorder="1" applyProtection="1"/>
    <xf numFmtId="2" fontId="10" fillId="0" borderId="1" xfId="0" applyNumberFormat="1" applyFont="1" applyBorder="1"/>
    <xf numFmtId="2" fontId="10" fillId="0" borderId="0" xfId="0" applyNumberFormat="1" applyFont="1"/>
    <xf numFmtId="166" fontId="0" fillId="0" borderId="0" xfId="0" applyNumberFormat="1"/>
    <xf numFmtId="166" fontId="0" fillId="0" borderId="0" xfId="0" applyNumberFormat="1" applyFill="1" applyBorder="1"/>
    <xf numFmtId="166" fontId="3" fillId="0" borderId="0" xfId="2" applyNumberFormat="1" applyFont="1"/>
    <xf numFmtId="0" fontId="19" fillId="3" borderId="0" xfId="0" applyFont="1" applyFill="1" applyBorder="1" applyProtection="1"/>
    <xf numFmtId="0" fontId="20" fillId="3" borderId="0" xfId="0" applyFont="1" applyFill="1" applyBorder="1" applyAlignment="1" applyProtection="1"/>
    <xf numFmtId="2" fontId="19" fillId="0" borderId="0" xfId="0" applyNumberFormat="1" applyFont="1" applyFill="1" applyBorder="1" applyProtection="1"/>
    <xf numFmtId="0" fontId="12" fillId="3" borderId="0" xfId="0" applyFont="1" applyFill="1" applyBorder="1" applyProtection="1"/>
    <xf numFmtId="0" fontId="12" fillId="2" borderId="0" xfId="0" applyFont="1" applyFill="1" applyBorder="1" applyProtection="1"/>
    <xf numFmtId="2" fontId="11" fillId="0" borderId="0" xfId="0" applyNumberFormat="1" applyFont="1" applyFill="1" applyBorder="1" applyProtection="1"/>
    <xf numFmtId="2" fontId="12" fillId="0" borderId="0" xfId="0" applyNumberFormat="1" applyFont="1" applyFill="1" applyBorder="1" applyProtection="1"/>
    <xf numFmtId="2" fontId="13" fillId="0" borderId="0" xfId="0" applyNumberFormat="1" applyFont="1" applyFill="1" applyBorder="1" applyAlignment="1" applyProtection="1">
      <alignment horizontal="right"/>
    </xf>
    <xf numFmtId="3" fontId="12" fillId="0" borderId="0" xfId="2" applyNumberFormat="1" applyFont="1" applyFill="1" applyBorder="1" applyProtection="1"/>
    <xf numFmtId="2" fontId="13" fillId="0" borderId="0" xfId="0" applyNumberFormat="1" applyFont="1" applyFill="1" applyBorder="1" applyProtection="1"/>
    <xf numFmtId="3" fontId="11" fillId="0" borderId="0" xfId="2" applyNumberFormat="1" applyFont="1" applyFill="1" applyBorder="1" applyProtection="1"/>
    <xf numFmtId="0" fontId="13" fillId="3" borderId="0" xfId="0" applyNumberFormat="1" applyFont="1" applyFill="1" applyBorder="1" applyProtection="1"/>
    <xf numFmtId="0" fontId="14" fillId="3" borderId="0" xfId="0" applyFont="1" applyFill="1" applyBorder="1" applyAlignment="1" applyProtection="1"/>
    <xf numFmtId="0" fontId="12" fillId="3" borderId="0" xfId="0" applyNumberFormat="1" applyFont="1" applyFill="1" applyBorder="1" applyProtection="1"/>
    <xf numFmtId="0" fontId="13" fillId="3" borderId="0" xfId="0" applyFont="1" applyFill="1" applyBorder="1" applyProtection="1"/>
    <xf numFmtId="2" fontId="17" fillId="0" borderId="0" xfId="0" applyNumberFormat="1" applyFont="1" applyBorder="1"/>
    <xf numFmtId="3" fontId="0" fillId="0" borderId="0" xfId="0" applyNumberFormat="1"/>
    <xf numFmtId="2" fontId="21" fillId="0" borderId="0" xfId="0" applyNumberFormat="1" applyFont="1"/>
    <xf numFmtId="2" fontId="22" fillId="0" borderId="0" xfId="0" applyNumberFormat="1" applyFont="1"/>
    <xf numFmtId="2" fontId="0" fillId="0" borderId="6" xfId="0" applyNumberFormat="1" applyBorder="1"/>
    <xf numFmtId="3" fontId="0" fillId="0" borderId="6" xfId="0" applyNumberFormat="1" applyBorder="1"/>
    <xf numFmtId="2" fontId="3" fillId="0" borderId="6" xfId="2" applyNumberFormat="1" applyFont="1" applyBorder="1"/>
    <xf numFmtId="2" fontId="0" fillId="0" borderId="7" xfId="0" applyNumberFormat="1" applyBorder="1"/>
    <xf numFmtId="2" fontId="23" fillId="0" borderId="0" xfId="0" applyNumberFormat="1" applyFont="1"/>
    <xf numFmtId="3" fontId="12" fillId="0" borderId="6" xfId="0" applyNumberFormat="1" applyFont="1" applyFill="1" applyBorder="1" applyProtection="1"/>
    <xf numFmtId="0" fontId="7" fillId="0" borderId="0" xfId="0" applyFont="1" applyFill="1" applyBorder="1" applyProtection="1"/>
    <xf numFmtId="0" fontId="6" fillId="0" borderId="0" xfId="0" applyFont="1" applyFill="1" applyBorder="1" applyProtection="1"/>
    <xf numFmtId="0" fontId="12" fillId="0" borderId="0" xfId="0" applyFont="1" applyFill="1" applyBorder="1" applyProtection="1"/>
    <xf numFmtId="3" fontId="13" fillId="0" borderId="0" xfId="0" applyNumberFormat="1" applyFont="1" applyFill="1" applyBorder="1" applyAlignment="1" applyProtection="1">
      <alignment horizontal="center"/>
      <protection locked="0"/>
    </xf>
    <xf numFmtId="0" fontId="13" fillId="0" borderId="0" xfId="0" applyFont="1" applyFill="1" applyBorder="1" applyProtection="1">
      <protection locked="0"/>
    </xf>
    <xf numFmtId="0" fontId="12" fillId="0" borderId="0" xfId="0" applyFont="1" applyFill="1" applyBorder="1" applyAlignment="1" applyProtection="1">
      <alignment horizontal="center"/>
    </xf>
    <xf numFmtId="0" fontId="13" fillId="0" borderId="0" xfId="0" applyFont="1" applyFill="1" applyBorder="1" applyProtection="1"/>
    <xf numFmtId="0" fontId="5" fillId="0" borderId="0" xfId="0" applyFont="1" applyFill="1" applyBorder="1" applyProtection="1"/>
    <xf numFmtId="3" fontId="13" fillId="5" borderId="0" xfId="0" applyNumberFormat="1" applyFont="1" applyFill="1" applyBorder="1" applyAlignment="1" applyProtection="1">
      <alignment horizontal="center"/>
      <protection locked="0"/>
    </xf>
    <xf numFmtId="2" fontId="13" fillId="5" borderId="0" xfId="0" applyNumberFormat="1"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2" fontId="0" fillId="0" borderId="1" xfId="0" applyNumberFormat="1" applyFill="1" applyBorder="1"/>
    <xf numFmtId="2" fontId="3" fillId="0" borderId="0" xfId="2" applyNumberFormat="1" applyFont="1" applyFill="1" applyBorder="1"/>
    <xf numFmtId="2" fontId="0" fillId="0" borderId="0" xfId="0" applyNumberFormat="1" applyFill="1"/>
    <xf numFmtId="166" fontId="0" fillId="5" borderId="0" xfId="0" applyNumberFormat="1" applyFill="1"/>
    <xf numFmtId="2" fontId="0" fillId="5" borderId="0" xfId="0" applyNumberFormat="1" applyFill="1"/>
    <xf numFmtId="0" fontId="24" fillId="4" borderId="0" xfId="0" applyFont="1" applyFill="1" applyBorder="1" applyAlignment="1" applyProtection="1"/>
    <xf numFmtId="0" fontId="25" fillId="4" borderId="0" xfId="0" applyFont="1" applyFill="1" applyAlignment="1"/>
    <xf numFmtId="0" fontId="0" fillId="0" borderId="10" xfId="0" applyBorder="1"/>
    <xf numFmtId="0" fontId="2" fillId="0" borderId="10" xfId="0" applyFont="1" applyBorder="1"/>
    <xf numFmtId="0" fontId="0" fillId="6" borderId="0" xfId="0" applyFill="1"/>
    <xf numFmtId="14" fontId="2" fillId="0" borderId="10" xfId="0" applyNumberFormat="1" applyFont="1" applyBorder="1" applyAlignment="1">
      <alignment horizontal="left"/>
    </xf>
    <xf numFmtId="3" fontId="2" fillId="0" borderId="10" xfId="0" applyNumberFormat="1" applyFont="1" applyBorder="1"/>
    <xf numFmtId="0" fontId="26" fillId="0" borderId="10" xfId="4" applyFill="1" applyBorder="1" applyAlignment="1"/>
    <xf numFmtId="0" fontId="21" fillId="6" borderId="0" xfId="0" applyFont="1" applyFill="1"/>
    <xf numFmtId="0" fontId="26" fillId="0" borderId="10" xfId="4" applyFill="1" applyBorder="1" applyAlignment="1" applyProtection="1">
      <protection locked="0"/>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5" fillId="3" borderId="0" xfId="0" applyFont="1" applyFill="1" applyBorder="1" applyAlignment="1" applyProtection="1">
      <alignment wrapText="1"/>
    </xf>
    <xf numFmtId="0" fontId="15" fillId="3" borderId="0" xfId="0" applyFont="1" applyFill="1" applyBorder="1" applyAlignment="1" applyProtection="1"/>
    <xf numFmtId="0" fontId="16" fillId="3" borderId="0" xfId="0" applyFont="1" applyFill="1" applyBorder="1" applyAlignment="1" applyProtection="1"/>
    <xf numFmtId="0" fontId="1" fillId="0" borderId="8" xfId="0" applyFont="1" applyBorder="1" applyAlignment="1">
      <alignment horizontal="center"/>
    </xf>
    <xf numFmtId="0" fontId="1" fillId="0" borderId="9" xfId="0" applyFont="1" applyBorder="1" applyAlignment="1">
      <alignment horizontal="center"/>
    </xf>
  </cellXfs>
  <cellStyles count="5">
    <cellStyle name="Format 1" xfId="1" xr:uid="{00000000-0005-0000-0000-000000000000}"/>
    <cellStyle name="Komma" xfId="2" builtinId="3"/>
    <cellStyle name="Link" xfId="4" builtinId="8"/>
    <cellStyle name="Normal" xfId="0" builtinId="0"/>
    <cellStyle name="Procent" xfId="3" builtinId="5"/>
  </cellStyles>
  <dxfs count="0"/>
  <tableStyles count="0" defaultTableStyle="TableStyleMedium9" defaultPivotStyle="PivotStyleLight16"/>
  <colors>
    <mruColors>
      <color rgb="FFFFFF99"/>
      <color rgb="FF6EA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b="1" i="0" u="none" strike="noStrike" baseline="0">
                <a:solidFill>
                  <a:srgbClr val="000000"/>
                </a:solidFill>
                <a:latin typeface="Calibri"/>
                <a:ea typeface="Calibri"/>
                <a:cs typeface="Calibri"/>
              </a:defRPr>
            </a:pPr>
            <a:r>
              <a:rPr lang="da-DK"/>
              <a:t>Pris for 1 kWh - med og uden solceller</a:t>
            </a:r>
          </a:p>
        </c:rich>
      </c:tx>
      <c:layout>
        <c:manualLayout>
          <c:xMode val="edge"/>
          <c:yMode val="edge"/>
          <c:x val="0.24679801831367781"/>
          <c:y val="6.933333333333333E-2"/>
        </c:manualLayout>
      </c:layout>
      <c:overlay val="1"/>
    </c:title>
    <c:autoTitleDeleted val="0"/>
    <c:plotArea>
      <c:layout>
        <c:manualLayout>
          <c:layoutTarget val="inner"/>
          <c:xMode val="edge"/>
          <c:yMode val="edge"/>
          <c:x val="6.4856807446042414E-2"/>
          <c:y val="6.921241050119345E-2"/>
          <c:w val="0.88989573007360423"/>
          <c:h val="0.76133651551312664"/>
        </c:manualLayout>
      </c:layout>
      <c:barChart>
        <c:barDir val="col"/>
        <c:grouping val="clustered"/>
        <c:varyColors val="0"/>
        <c:ser>
          <c:idx val="1"/>
          <c:order val="0"/>
          <c:tx>
            <c:v>kWh pris ved køb fra  El-nettet</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Solcelleøkonomi!$B$31:$G$31</c:f>
              <c:numCache>
                <c:formatCode>0.00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0-60CF-47C5-920F-6AACB8ECD9A2}"/>
            </c:ext>
          </c:extLst>
        </c:ser>
        <c:ser>
          <c:idx val="0"/>
          <c:order val="1"/>
          <c:tx>
            <c:v>kWh pris ved egenproduktion fra solceller</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Solcelleøkonomi!$B$30:$G$30</c:f>
              <c:numCache>
                <c:formatCode>0.00</c:formatCode>
                <c:ptCount val="6"/>
                <c:pt idx="0">
                  <c:v>1.0730199852014604</c:v>
                </c:pt>
                <c:pt idx="1">
                  <c:v>1.1184721216868616</c:v>
                </c:pt>
                <c:pt idx="2">
                  <c:v>1.1854160093560482</c:v>
                </c:pt>
                <c:pt idx="3">
                  <c:v>1.2666447726692029</c:v>
                </c:pt>
                <c:pt idx="4">
                  <c:v>1.2411458665051465</c:v>
                </c:pt>
                <c:pt idx="5">
                  <c:v>-6.1882666365934593E-17</c:v>
                </c:pt>
              </c:numCache>
            </c:numRef>
          </c:val>
          <c:extLst>
            <c:ext xmlns:c16="http://schemas.microsoft.com/office/drawing/2014/chart" uri="{C3380CC4-5D6E-409C-BE32-E72D297353CC}">
              <c16:uniqueId val="{00000001-60CF-47C5-920F-6AACB8ECD9A2}"/>
            </c:ext>
          </c:extLst>
        </c:ser>
        <c:dLbls>
          <c:showLegendKey val="0"/>
          <c:showVal val="0"/>
          <c:showCatName val="0"/>
          <c:showSerName val="0"/>
          <c:showPercent val="0"/>
          <c:showBubbleSize val="0"/>
        </c:dLbls>
        <c:gapWidth val="150"/>
        <c:axId val="433501264"/>
        <c:axId val="1"/>
      </c:barChart>
      <c:catAx>
        <c:axId val="4335012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max val="20"/>
          <c:min val="0"/>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33501264"/>
        <c:crosses val="autoZero"/>
        <c:crossBetween val="between"/>
        <c:minorUnit val="0.5"/>
      </c:valAx>
    </c:plotArea>
    <c:legend>
      <c:legendPos val="r"/>
      <c:layout>
        <c:manualLayout>
          <c:xMode val="edge"/>
          <c:yMode val="edge"/>
          <c:x val="0.16869738359166869"/>
          <c:y val="0.88723693629205436"/>
          <c:w val="0.72335658942182457"/>
          <c:h val="9.8253400143163916E-2"/>
        </c:manualLayout>
      </c:layout>
      <c:overlay val="1"/>
      <c:txPr>
        <a:bodyPr/>
        <a:lstStyle/>
        <a:p>
          <a:pPr>
            <a:defRPr sz="845"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1" l="0.75000000000000111" r="0.75000000000000111"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b="1" i="0" u="none" strike="noStrike" baseline="0">
                <a:solidFill>
                  <a:srgbClr val="000000"/>
                </a:solidFill>
                <a:latin typeface="Calibri"/>
                <a:ea typeface="Calibri"/>
                <a:cs typeface="Calibri"/>
              </a:defRPr>
            </a:pPr>
            <a:r>
              <a:rPr lang="da-DK"/>
              <a:t>Samlet besparelse
</a:t>
            </a:r>
          </a:p>
        </c:rich>
      </c:tx>
      <c:layout>
        <c:manualLayout>
          <c:xMode val="edge"/>
          <c:yMode val="edge"/>
          <c:x val="0.3610712113900561"/>
          <c:y val="0"/>
        </c:manualLayout>
      </c:layout>
      <c:overlay val="0"/>
    </c:title>
    <c:autoTitleDeleted val="0"/>
    <c:plotArea>
      <c:layout>
        <c:manualLayout>
          <c:layoutTarget val="inner"/>
          <c:xMode val="edge"/>
          <c:yMode val="edge"/>
          <c:x val="9.2675770558568293E-2"/>
          <c:y val="6.8558077898931424E-2"/>
          <c:w val="0.86248257439183718"/>
          <c:h val="0.75650292853993151"/>
        </c:manualLayout>
      </c:layout>
      <c:barChart>
        <c:barDir val="col"/>
        <c:grouping val="clustered"/>
        <c:varyColors val="0"/>
        <c:ser>
          <c:idx val="0"/>
          <c:order val="0"/>
          <c:tx>
            <c:v>Samlet besparelse ved at producere med solceller. Der er taget højde for inflation. </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Solcelleøkonomi!$B$28:$G$28</c:f>
              <c:numCache>
                <c:formatCode>#,##0</c:formatCode>
                <c:ptCount val="6"/>
                <c:pt idx="0">
                  <c:v>17561.880088791237</c:v>
                </c:pt>
                <c:pt idx="1">
                  <c:v>74773.213929541496</c:v>
                </c:pt>
                <c:pt idx="2">
                  <c:v>127669.60261556385</c:v>
                </c:pt>
                <c:pt idx="3">
                  <c:v>163571.83747847241</c:v>
                </c:pt>
                <c:pt idx="4">
                  <c:v>188098.16130605471</c:v>
                </c:pt>
                <c:pt idx="5">
                  <c:v>248913.35127383104</c:v>
                </c:pt>
              </c:numCache>
            </c:numRef>
          </c:val>
          <c:extLst>
            <c:ext xmlns:c16="http://schemas.microsoft.com/office/drawing/2014/chart" uri="{C3380CC4-5D6E-409C-BE32-E72D297353CC}">
              <c16:uniqueId val="{00000000-341C-40A0-A87A-988A67C6A3E1}"/>
            </c:ext>
          </c:extLst>
        </c:ser>
        <c:dLbls>
          <c:showLegendKey val="0"/>
          <c:showVal val="0"/>
          <c:showCatName val="0"/>
          <c:showSerName val="0"/>
          <c:showPercent val="0"/>
          <c:showBubbleSize val="0"/>
        </c:dLbls>
        <c:gapWidth val="150"/>
        <c:axId val="431900536"/>
        <c:axId val="1"/>
      </c:barChart>
      <c:catAx>
        <c:axId val="4319005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31900536"/>
        <c:crosses val="autoZero"/>
        <c:crossBetween val="between"/>
        <c:minorUnit val="4054.6130544382349"/>
      </c:valAx>
    </c:plotArea>
    <c:legend>
      <c:legendPos val="r"/>
      <c:layout>
        <c:manualLayout>
          <c:xMode val="edge"/>
          <c:yMode val="edge"/>
          <c:x val="0.37967209255793699"/>
          <c:y val="0.89125419606237166"/>
          <c:w val="0.3153965843955604"/>
          <c:h val="8.5106631174649228E-2"/>
        </c:manualLayout>
      </c:layout>
      <c:overlay val="1"/>
      <c:txPr>
        <a:bodyPr/>
        <a:lstStyle/>
        <a:p>
          <a:pPr>
            <a:defRPr sz="845"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1" l="0.75000000000000089" r="0.7500000000000008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b="1" i="0" u="none" strike="noStrike" baseline="0">
                <a:solidFill>
                  <a:srgbClr val="000000"/>
                </a:solidFill>
                <a:latin typeface="Calibri"/>
                <a:ea typeface="Calibri"/>
                <a:cs typeface="Calibri"/>
              </a:defRPr>
            </a:pPr>
            <a:r>
              <a:rPr lang="da-DK"/>
              <a:t>Samlede  årlige omk. til EL med og uden solceller
</a:t>
            </a:r>
          </a:p>
        </c:rich>
      </c:tx>
      <c:layout>
        <c:manualLayout>
          <c:xMode val="edge"/>
          <c:yMode val="edge"/>
          <c:x val="0.24679796381384533"/>
          <c:y val="6.933333333333333E-2"/>
        </c:manualLayout>
      </c:layout>
      <c:overlay val="1"/>
    </c:title>
    <c:autoTitleDeleted val="0"/>
    <c:plotArea>
      <c:layout>
        <c:manualLayout>
          <c:layoutTarget val="inner"/>
          <c:xMode val="edge"/>
          <c:yMode val="edge"/>
          <c:x val="8.3023543990087434E-2"/>
          <c:y val="5.3606719160104975E-2"/>
          <c:w val="0.87525902740418793"/>
          <c:h val="0.78200000000000003"/>
        </c:manualLayout>
      </c:layout>
      <c:barChart>
        <c:barDir val="col"/>
        <c:grouping val="clustered"/>
        <c:varyColors val="0"/>
        <c:ser>
          <c:idx val="1"/>
          <c:order val="0"/>
          <c:tx>
            <c:strRef>
              <c:f>Solcelleøkonomi!$A$33</c:f>
              <c:strCache>
                <c:ptCount val="1"/>
                <c:pt idx="0">
                  <c:v>Samlede akkumulerede omk. til el uden solceller</c:v>
                </c:pt>
              </c:strCache>
            </c:strRef>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Solcelleøkonomi!$B$33:$G$33</c:f>
              <c:numCache>
                <c:formatCode>#,##0</c:formatCode>
                <c:ptCount val="6"/>
                <c:pt idx="0">
                  <c:v>28000</c:v>
                </c:pt>
                <c:pt idx="1">
                  <c:v>25360.462675237646</c:v>
                </c:pt>
                <c:pt idx="2">
                  <c:v>22969.752396504347</c:v>
                </c:pt>
                <c:pt idx="3">
                  <c:v>20804.412439678541</c:v>
                </c:pt>
                <c:pt idx="4">
                  <c:v>18843.197327025617</c:v>
                </c:pt>
                <c:pt idx="5">
                  <c:v>15457.984891437536</c:v>
                </c:pt>
              </c:numCache>
            </c:numRef>
          </c:val>
          <c:extLst>
            <c:ext xmlns:c16="http://schemas.microsoft.com/office/drawing/2014/chart" uri="{C3380CC4-5D6E-409C-BE32-E72D297353CC}">
              <c16:uniqueId val="{00000000-A6B2-4B50-8A79-2CA57BF8FEE9}"/>
            </c:ext>
          </c:extLst>
        </c:ser>
        <c:ser>
          <c:idx val="0"/>
          <c:order val="1"/>
          <c:tx>
            <c:v>kWh pris ved egenproduktion fra solceller</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Solcelleøkonomi!$B$34:$G$34</c:f>
              <c:numCache>
                <c:formatCode>#,##0</c:formatCode>
                <c:ptCount val="6"/>
                <c:pt idx="0">
                  <c:v>10438.119911208763</c:v>
                </c:pt>
                <c:pt idx="1">
                  <c:v>10014.317832058059</c:v>
                </c:pt>
                <c:pt idx="2">
                  <c:v>9739.5308287475345</c:v>
                </c:pt>
                <c:pt idx="3">
                  <c:v>9471.8610048942573</c:v>
                </c:pt>
                <c:pt idx="4">
                  <c:v>8761.6978167325396</c:v>
                </c:pt>
                <c:pt idx="5">
                  <c:v>4129.4902495697443</c:v>
                </c:pt>
              </c:numCache>
            </c:numRef>
          </c:val>
          <c:extLst>
            <c:ext xmlns:c16="http://schemas.microsoft.com/office/drawing/2014/chart" uri="{C3380CC4-5D6E-409C-BE32-E72D297353CC}">
              <c16:uniqueId val="{00000001-A6B2-4B50-8A79-2CA57BF8FEE9}"/>
            </c:ext>
          </c:extLst>
        </c:ser>
        <c:dLbls>
          <c:showLegendKey val="0"/>
          <c:showVal val="0"/>
          <c:showCatName val="0"/>
          <c:showSerName val="0"/>
          <c:showPercent val="0"/>
          <c:showBubbleSize val="0"/>
        </c:dLbls>
        <c:gapWidth val="150"/>
        <c:axId val="434243768"/>
        <c:axId val="1"/>
      </c:barChart>
      <c:catAx>
        <c:axId val="4342437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34243768"/>
        <c:crosses val="autoZero"/>
        <c:crossBetween val="between"/>
        <c:minorUnit val="392.95008294564451"/>
      </c:valAx>
    </c:plotArea>
    <c:legend>
      <c:legendPos val="r"/>
      <c:layout>
        <c:manualLayout>
          <c:xMode val="edge"/>
          <c:yMode val="edge"/>
          <c:x val="2.6634382566585957E-2"/>
          <c:y val="0.91800000000000004"/>
          <c:w val="0.95399566579601269"/>
          <c:h val="6.3999999999999946E-2"/>
        </c:manualLayout>
      </c:layout>
      <c:overlay val="1"/>
      <c:txPr>
        <a:bodyPr/>
        <a:lstStyle/>
        <a:p>
          <a:pPr>
            <a:defRPr sz="845"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b="1" i="0" u="none" strike="noStrike" baseline="0">
                <a:solidFill>
                  <a:srgbClr val="000000"/>
                </a:solidFill>
                <a:latin typeface="Calibri"/>
                <a:ea typeface="Calibri"/>
                <a:cs typeface="Calibri"/>
              </a:defRPr>
            </a:pPr>
            <a:r>
              <a:rPr lang="da-DK"/>
              <a:t>Pris for 1 kWh - med og uden solceller</a:t>
            </a:r>
          </a:p>
        </c:rich>
      </c:tx>
      <c:layout>
        <c:manualLayout>
          <c:xMode val="edge"/>
          <c:yMode val="edge"/>
          <c:x val="0.24679796381384533"/>
          <c:y val="6.933333333333333E-2"/>
        </c:manualLayout>
      </c:layout>
      <c:overlay val="1"/>
    </c:title>
    <c:autoTitleDeleted val="0"/>
    <c:plotArea>
      <c:layout>
        <c:manualLayout>
          <c:layoutTarget val="inner"/>
          <c:xMode val="edge"/>
          <c:yMode val="edge"/>
          <c:x val="8.3023543990087351E-2"/>
          <c:y val="5.3606719160104975E-2"/>
          <c:w val="0.87525902740418737"/>
          <c:h val="0.78200000000000003"/>
        </c:manualLayout>
      </c:layout>
      <c:barChart>
        <c:barDir val="col"/>
        <c:grouping val="clustered"/>
        <c:varyColors val="0"/>
        <c:ser>
          <c:idx val="1"/>
          <c:order val="0"/>
          <c:tx>
            <c:v>kWh pris ved køb fra  El-nettet</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Solcelleøkonomi!$B$31:$G$31</c:f>
              <c:numCache>
                <c:formatCode>0.00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0-851D-4F7A-9FD4-65B0E5EE11E3}"/>
            </c:ext>
          </c:extLst>
        </c:ser>
        <c:ser>
          <c:idx val="0"/>
          <c:order val="1"/>
          <c:tx>
            <c:v>kWh pris ved egenproduktion fra solceller</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Solcelleøkonomi!$B$30:$G$30</c:f>
              <c:numCache>
                <c:formatCode>0.00</c:formatCode>
                <c:ptCount val="6"/>
                <c:pt idx="0">
                  <c:v>1.0730199852014604</c:v>
                </c:pt>
                <c:pt idx="1">
                  <c:v>1.1184721216868616</c:v>
                </c:pt>
                <c:pt idx="2">
                  <c:v>1.1854160093560482</c:v>
                </c:pt>
                <c:pt idx="3">
                  <c:v>1.2666447726692029</c:v>
                </c:pt>
                <c:pt idx="4">
                  <c:v>1.2411458665051465</c:v>
                </c:pt>
                <c:pt idx="5">
                  <c:v>-6.1882666365934593E-17</c:v>
                </c:pt>
              </c:numCache>
            </c:numRef>
          </c:val>
          <c:extLst>
            <c:ext xmlns:c16="http://schemas.microsoft.com/office/drawing/2014/chart" uri="{C3380CC4-5D6E-409C-BE32-E72D297353CC}">
              <c16:uniqueId val="{00000001-851D-4F7A-9FD4-65B0E5EE11E3}"/>
            </c:ext>
          </c:extLst>
        </c:ser>
        <c:dLbls>
          <c:showLegendKey val="0"/>
          <c:showVal val="0"/>
          <c:showCatName val="0"/>
          <c:showSerName val="0"/>
          <c:showPercent val="0"/>
          <c:showBubbleSize val="0"/>
        </c:dLbls>
        <c:gapWidth val="150"/>
        <c:axId val="433500608"/>
        <c:axId val="1"/>
      </c:barChart>
      <c:catAx>
        <c:axId val="4335006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max val="8"/>
          <c:min val="0"/>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33500608"/>
        <c:crosses val="autoZero"/>
        <c:crossBetween val="between"/>
        <c:minorUnit val="0.5"/>
      </c:valAx>
    </c:plotArea>
    <c:legend>
      <c:legendPos val="r"/>
      <c:layout>
        <c:manualLayout>
          <c:xMode val="edge"/>
          <c:yMode val="edge"/>
          <c:x val="0.12106550240541966"/>
          <c:y val="0.91800000000000004"/>
          <c:w val="0.77481891034807082"/>
          <c:h val="6.3999999999999946E-2"/>
        </c:manualLayout>
      </c:layout>
      <c:overlay val="1"/>
      <c:txPr>
        <a:bodyPr/>
        <a:lstStyle/>
        <a:p>
          <a:pPr>
            <a:defRPr sz="845"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b="1" i="0" u="none" strike="noStrike" baseline="0">
                <a:solidFill>
                  <a:srgbClr val="000000"/>
                </a:solidFill>
                <a:latin typeface="Calibri"/>
                <a:ea typeface="Calibri"/>
                <a:cs typeface="Calibri"/>
              </a:defRPr>
            </a:pPr>
            <a:r>
              <a:rPr lang="da-DK"/>
              <a:t>Samlet besparelse
</a:t>
            </a:r>
          </a:p>
        </c:rich>
      </c:tx>
      <c:layout>
        <c:manualLayout>
          <c:xMode val="edge"/>
          <c:yMode val="edge"/>
          <c:x val="0.39017749899906579"/>
          <c:y val="0"/>
        </c:manualLayout>
      </c:layout>
      <c:overlay val="0"/>
    </c:title>
    <c:autoTitleDeleted val="0"/>
    <c:plotArea>
      <c:layout>
        <c:manualLayout>
          <c:layoutTarget val="inner"/>
          <c:xMode val="edge"/>
          <c:yMode val="edge"/>
          <c:x val="8.3023543990087517E-2"/>
          <c:y val="5.3606719160104975E-2"/>
          <c:w val="0.87525902740418837"/>
          <c:h val="0.78200000000000003"/>
        </c:manualLayout>
      </c:layout>
      <c:barChart>
        <c:barDir val="col"/>
        <c:grouping val="clustered"/>
        <c:varyColors val="0"/>
        <c:ser>
          <c:idx val="0"/>
          <c:order val="0"/>
          <c:tx>
            <c:v>Samlet besparelse ved at producere med solceller. Der er taget højde for inflation. </c:v>
          </c:tx>
          <c:invertIfNegative val="0"/>
          <c:cat>
            <c:strRef>
              <c:f>Solcelleøkonomi!$B$23:$G$23</c:f>
              <c:strCache>
                <c:ptCount val="6"/>
                <c:pt idx="0">
                  <c:v>År 1</c:v>
                </c:pt>
                <c:pt idx="1">
                  <c:v>År 5</c:v>
                </c:pt>
                <c:pt idx="2">
                  <c:v>År 10</c:v>
                </c:pt>
                <c:pt idx="3">
                  <c:v>År 15</c:v>
                </c:pt>
                <c:pt idx="4">
                  <c:v>År 20</c:v>
                </c:pt>
                <c:pt idx="5">
                  <c:v>År 30</c:v>
                </c:pt>
              </c:strCache>
            </c:strRef>
          </c:cat>
          <c:val>
            <c:numRef>
              <c:f>Solcelleøkonomi!$B$28:$G$28</c:f>
              <c:numCache>
                <c:formatCode>#,##0</c:formatCode>
                <c:ptCount val="6"/>
                <c:pt idx="0">
                  <c:v>17561.880088791237</c:v>
                </c:pt>
                <c:pt idx="1">
                  <c:v>74773.213929541496</c:v>
                </c:pt>
                <c:pt idx="2">
                  <c:v>127669.60261556385</c:v>
                </c:pt>
                <c:pt idx="3">
                  <c:v>163571.83747847241</c:v>
                </c:pt>
                <c:pt idx="4">
                  <c:v>188098.16130605471</c:v>
                </c:pt>
                <c:pt idx="5">
                  <c:v>248913.35127383104</c:v>
                </c:pt>
              </c:numCache>
            </c:numRef>
          </c:val>
          <c:extLst>
            <c:ext xmlns:c16="http://schemas.microsoft.com/office/drawing/2014/chart" uri="{C3380CC4-5D6E-409C-BE32-E72D297353CC}">
              <c16:uniqueId val="{00000000-147F-4244-BCB4-7EB50839FD5E}"/>
            </c:ext>
          </c:extLst>
        </c:ser>
        <c:dLbls>
          <c:showLegendKey val="0"/>
          <c:showVal val="0"/>
          <c:showCatName val="0"/>
          <c:showSerName val="0"/>
          <c:showPercent val="0"/>
          <c:showBubbleSize val="0"/>
        </c:dLbls>
        <c:gapWidth val="150"/>
        <c:axId val="433498312"/>
        <c:axId val="1"/>
      </c:barChart>
      <c:catAx>
        <c:axId val="4334983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33498312"/>
        <c:crosses val="autoZero"/>
        <c:crossBetween val="between"/>
        <c:minorUnit val="4054.6130544382349"/>
      </c:valAx>
    </c:plotArea>
    <c:legend>
      <c:legendPos val="r"/>
      <c:layout>
        <c:manualLayout>
          <c:xMode val="edge"/>
          <c:yMode val="edge"/>
          <c:x val="0.65859602295475783"/>
          <c:y val="0.54"/>
          <c:w val="0.33050872878178361"/>
          <c:h val="7.1999999999999953E-2"/>
        </c:manualLayout>
      </c:layout>
      <c:overlay val="1"/>
      <c:txPr>
        <a:bodyPr/>
        <a:lstStyle/>
        <a:p>
          <a:pPr>
            <a:defRPr sz="845"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0266" l="0.70000000000000062" r="0.70000000000000062" t="0.750000000000002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66676</xdr:rowOff>
    </xdr:from>
    <xdr:to>
      <xdr:col>1</xdr:col>
      <xdr:colOff>95250</xdr:colOff>
      <xdr:row>2</xdr:row>
      <xdr:rowOff>138186</xdr:rowOff>
    </xdr:to>
    <xdr:pic>
      <xdr:nvPicPr>
        <xdr:cNvPr id="2" name="Billede 1">
          <a:extLst>
            <a:ext uri="{FF2B5EF4-FFF2-40B4-BE49-F238E27FC236}">
              <a16:creationId xmlns:a16="http://schemas.microsoft.com/office/drawing/2014/main" id="{06E4F45F-C584-4010-93FA-626F0B727A0F}"/>
            </a:ext>
          </a:extLst>
        </xdr:cNvPr>
        <xdr:cNvPicPr>
          <a:picLocks noChangeAspect="1"/>
        </xdr:cNvPicPr>
      </xdr:nvPicPr>
      <xdr:blipFill>
        <a:blip xmlns:r="http://schemas.openxmlformats.org/officeDocument/2006/relationships" r:embed="rId1"/>
        <a:stretch>
          <a:fillRect/>
        </a:stretch>
      </xdr:blipFill>
      <xdr:spPr>
        <a:xfrm>
          <a:off x="114300" y="66676"/>
          <a:ext cx="1019175" cy="452510"/>
        </a:xfrm>
        <a:prstGeom prst="rect">
          <a:avLst/>
        </a:prstGeom>
      </xdr:spPr>
    </xdr:pic>
    <xdr:clientData/>
  </xdr:twoCellAnchor>
  <xdr:twoCellAnchor editAs="oneCell">
    <xdr:from>
      <xdr:col>3</xdr:col>
      <xdr:colOff>142876</xdr:colOff>
      <xdr:row>0</xdr:row>
      <xdr:rowOff>85726</xdr:rowOff>
    </xdr:from>
    <xdr:to>
      <xdr:col>9</xdr:col>
      <xdr:colOff>533400</xdr:colOff>
      <xdr:row>3</xdr:row>
      <xdr:rowOff>47086</xdr:rowOff>
    </xdr:to>
    <xdr:pic>
      <xdr:nvPicPr>
        <xdr:cNvPr id="3" name="Billede 2">
          <a:extLst>
            <a:ext uri="{FF2B5EF4-FFF2-40B4-BE49-F238E27FC236}">
              <a16:creationId xmlns:a16="http://schemas.microsoft.com/office/drawing/2014/main" id="{D64D9C64-29B2-4414-8043-C18BBC6C20CB}"/>
            </a:ext>
          </a:extLst>
        </xdr:cNvPr>
        <xdr:cNvPicPr>
          <a:picLocks noChangeAspect="1"/>
        </xdr:cNvPicPr>
      </xdr:nvPicPr>
      <xdr:blipFill>
        <a:blip xmlns:r="http://schemas.openxmlformats.org/officeDocument/2006/relationships" r:embed="rId2"/>
        <a:stretch>
          <a:fillRect/>
        </a:stretch>
      </xdr:blipFill>
      <xdr:spPr>
        <a:xfrm>
          <a:off x="7591426" y="85726"/>
          <a:ext cx="4048124" cy="532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171450</xdr:colOff>
      <xdr:row>2</xdr:row>
      <xdr:rowOff>0</xdr:rowOff>
    </xdr:from>
    <xdr:to>
      <xdr:col>17</xdr:col>
      <xdr:colOff>9525</xdr:colOff>
      <xdr:row>24</xdr:row>
      <xdr:rowOff>95250</xdr:rowOff>
    </xdr:to>
    <xdr:graphicFrame macro="">
      <xdr:nvGraphicFramePr>
        <xdr:cNvPr id="1097" name="Chart 4">
          <a:extLst>
            <a:ext uri="{FF2B5EF4-FFF2-40B4-BE49-F238E27FC236}">
              <a16:creationId xmlns:a16="http://schemas.microsoft.com/office/drawing/2014/main" id="{EC704081-A8F4-4774-9647-F257D15D6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171450</xdr:colOff>
      <xdr:row>25</xdr:row>
      <xdr:rowOff>133350</xdr:rowOff>
    </xdr:from>
    <xdr:to>
      <xdr:col>17</xdr:col>
      <xdr:colOff>28575</xdr:colOff>
      <xdr:row>48</xdr:row>
      <xdr:rowOff>0</xdr:rowOff>
    </xdr:to>
    <xdr:graphicFrame macro="">
      <xdr:nvGraphicFramePr>
        <xdr:cNvPr id="1098" name="Chart 5">
          <a:extLst>
            <a:ext uri="{FF2B5EF4-FFF2-40B4-BE49-F238E27FC236}">
              <a16:creationId xmlns:a16="http://schemas.microsoft.com/office/drawing/2014/main" id="{2C977034-4F15-59BC-F213-A1C2F382E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47625</xdr:colOff>
      <xdr:row>0</xdr:row>
      <xdr:rowOff>28575</xdr:rowOff>
    </xdr:from>
    <xdr:to>
      <xdr:col>16</xdr:col>
      <xdr:colOff>693812</xdr:colOff>
      <xdr:row>1</xdr:row>
      <xdr:rowOff>158362</xdr:rowOff>
    </xdr:to>
    <xdr:pic>
      <xdr:nvPicPr>
        <xdr:cNvPr id="2" name="Billede 1">
          <a:extLst>
            <a:ext uri="{FF2B5EF4-FFF2-40B4-BE49-F238E27FC236}">
              <a16:creationId xmlns:a16="http://schemas.microsoft.com/office/drawing/2014/main" id="{2878F1FA-5415-4DD2-A99E-FBE768DED7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11200" y="28575"/>
          <a:ext cx="1865387" cy="310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552450</xdr:colOff>
      <xdr:row>28</xdr:row>
      <xdr:rowOff>0</xdr:rowOff>
    </xdr:to>
    <xdr:graphicFrame macro="">
      <xdr:nvGraphicFramePr>
        <xdr:cNvPr id="4129" name="Diagram 1">
          <a:extLst>
            <a:ext uri="{FF2B5EF4-FFF2-40B4-BE49-F238E27FC236}">
              <a16:creationId xmlns:a16="http://schemas.microsoft.com/office/drawing/2014/main" id="{4260CAC2-948A-F695-2059-7C77F4E5C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13</xdr:col>
      <xdr:colOff>552450</xdr:colOff>
      <xdr:row>30</xdr:row>
      <xdr:rowOff>0</xdr:rowOff>
    </xdr:to>
    <xdr:graphicFrame macro="">
      <xdr:nvGraphicFramePr>
        <xdr:cNvPr id="6177" name="Diagram 1">
          <a:extLst>
            <a:ext uri="{FF2B5EF4-FFF2-40B4-BE49-F238E27FC236}">
              <a16:creationId xmlns:a16="http://schemas.microsoft.com/office/drawing/2014/main" id="{8702B0F0-BCC8-1F09-5B70-D43081069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47625</xdr:rowOff>
    </xdr:from>
    <xdr:to>
      <xdr:col>13</xdr:col>
      <xdr:colOff>571500</xdr:colOff>
      <xdr:row>27</xdr:row>
      <xdr:rowOff>47625</xdr:rowOff>
    </xdr:to>
    <xdr:graphicFrame macro="">
      <xdr:nvGraphicFramePr>
        <xdr:cNvPr id="8225" name="Diagram 1">
          <a:extLst>
            <a:ext uri="{FF2B5EF4-FFF2-40B4-BE49-F238E27FC236}">
              <a16:creationId xmlns:a16="http://schemas.microsoft.com/office/drawing/2014/main" id="{52D979E9-5E84-7B89-17CE-7E36511DA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landbrugsinfo.dk/public/e/c/b/finansiering_sadan_bruges_investeringsoversigten" TargetMode="External"/><Relationship Id="rId1" Type="http://schemas.openxmlformats.org/officeDocument/2006/relationships/hyperlink" Target="https://www.landbrugsinfo.dk/public/2/1/8/abonnement_om_landbrugsinf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A908-51CC-4C47-B36C-EE41E742DE21}">
  <dimension ref="B5:D13"/>
  <sheetViews>
    <sheetView tabSelected="1" workbookViewId="0">
      <selection activeCell="C21" sqref="C21"/>
    </sheetView>
  </sheetViews>
  <sheetFormatPr defaultColWidth="9.140625" defaultRowHeight="15" x14ac:dyDescent="0.25"/>
  <cols>
    <col min="1" max="1" width="15.5703125" style="75" customWidth="1"/>
    <col min="2" max="2" width="33.85546875" style="75" customWidth="1"/>
    <col min="3" max="3" width="62.28515625" style="75" customWidth="1"/>
    <col min="4" max="16384" width="9.140625" style="75"/>
  </cols>
  <sheetData>
    <row r="5" spans="2:4" x14ac:dyDescent="0.25">
      <c r="B5" s="73" t="s">
        <v>122</v>
      </c>
      <c r="C5" s="74" t="s">
        <v>123</v>
      </c>
    </row>
    <row r="6" spans="2:4" x14ac:dyDescent="0.25">
      <c r="B6" s="74"/>
      <c r="C6" s="81" t="s">
        <v>136</v>
      </c>
    </row>
    <row r="7" spans="2:4" x14ac:dyDescent="0.25">
      <c r="B7" s="74"/>
      <c r="C7" s="82"/>
    </row>
    <row r="8" spans="2:4" x14ac:dyDescent="0.25">
      <c r="B8" s="74" t="s">
        <v>124</v>
      </c>
      <c r="C8" s="76">
        <v>44915</v>
      </c>
    </row>
    <row r="9" spans="2:4" x14ac:dyDescent="0.25">
      <c r="B9" s="74" t="s">
        <v>125</v>
      </c>
      <c r="C9" s="74" t="s">
        <v>126</v>
      </c>
    </row>
    <row r="10" spans="2:4" x14ac:dyDescent="0.25">
      <c r="B10" s="74" t="s">
        <v>127</v>
      </c>
      <c r="C10" s="74" t="s">
        <v>128</v>
      </c>
    </row>
    <row r="11" spans="2:4" x14ac:dyDescent="0.25">
      <c r="B11" s="74" t="s">
        <v>129</v>
      </c>
      <c r="C11" s="74" t="s">
        <v>130</v>
      </c>
    </row>
    <row r="12" spans="2:4" x14ac:dyDescent="0.25">
      <c r="B12" s="77" t="s">
        <v>131</v>
      </c>
      <c r="C12" s="78" t="s">
        <v>132</v>
      </c>
      <c r="D12" s="79"/>
    </row>
    <row r="13" spans="2:4" x14ac:dyDescent="0.25">
      <c r="B13" s="74" t="s">
        <v>133</v>
      </c>
      <c r="C13" s="80" t="s">
        <v>134</v>
      </c>
    </row>
  </sheetData>
  <mergeCells count="1">
    <mergeCell ref="C6:C7"/>
  </mergeCells>
  <hyperlinks>
    <hyperlink ref="C13" r:id="rId1" xr:uid="{A3AC14D9-65EA-4753-AC7A-5744BFF7D64A}"/>
    <hyperlink ref="C12" r:id="rId2" xr:uid="{800D7CF5-A663-4286-9D48-50842A5D5949}"/>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3:AT116"/>
  <sheetViews>
    <sheetView showGridLines="0" zoomScaleNormal="100" workbookViewId="0">
      <selection activeCell="A11" sqref="A11"/>
    </sheetView>
  </sheetViews>
  <sheetFormatPr defaultRowHeight="14.25" x14ac:dyDescent="0.2"/>
  <cols>
    <col min="1" max="1" width="57.7109375" style="22" customWidth="1"/>
    <col min="2" max="2" width="13.7109375" style="22" customWidth="1"/>
    <col min="3" max="6" width="12.7109375" style="22" bestFit="1" customWidth="1"/>
    <col min="7" max="7" width="14.140625" style="22" customWidth="1"/>
    <col min="8" max="16" width="9.140625" style="22"/>
    <col min="17" max="17" width="15.42578125" style="22" customWidth="1"/>
    <col min="18" max="46" width="9.140625" style="19"/>
    <col min="47" max="16384" width="9.140625" style="22"/>
  </cols>
  <sheetData>
    <row r="3" spans="1:8" ht="23.25" x14ac:dyDescent="0.35">
      <c r="A3" s="71" t="s">
        <v>135</v>
      </c>
      <c r="B3" s="72"/>
      <c r="C3" s="72"/>
      <c r="D3" s="71"/>
      <c r="E3" s="55"/>
      <c r="F3" s="55"/>
      <c r="G3" s="55"/>
      <c r="H3" s="19"/>
    </row>
    <row r="4" spans="1:8" x14ac:dyDescent="0.2">
      <c r="A4" s="56"/>
      <c r="B4" s="55"/>
      <c r="C4" s="55"/>
      <c r="D4" s="55"/>
      <c r="E4" s="55"/>
      <c r="F4" s="55"/>
      <c r="G4" s="55"/>
      <c r="H4" s="19"/>
    </row>
    <row r="5" spans="1:8" x14ac:dyDescent="0.2">
      <c r="A5" s="61" t="s">
        <v>0</v>
      </c>
      <c r="B5" s="57"/>
      <c r="C5" s="57"/>
      <c r="D5" s="57"/>
      <c r="E5" s="57"/>
      <c r="F5" s="57"/>
      <c r="G5" s="55"/>
      <c r="H5" s="19"/>
    </row>
    <row r="6" spans="1:8" x14ac:dyDescent="0.2">
      <c r="A6" s="57" t="s">
        <v>74</v>
      </c>
      <c r="B6" s="57"/>
      <c r="C6" s="57"/>
      <c r="D6" s="63">
        <v>7000</v>
      </c>
      <c r="E6" s="57" t="s">
        <v>3</v>
      </c>
      <c r="F6" s="57"/>
      <c r="G6" s="55"/>
      <c r="H6" s="19"/>
    </row>
    <row r="7" spans="1:8" x14ac:dyDescent="0.2">
      <c r="A7" s="57" t="s">
        <v>75</v>
      </c>
      <c r="B7" s="57"/>
      <c r="C7" s="57"/>
      <c r="D7" s="64">
        <v>4</v>
      </c>
      <c r="E7" s="57" t="s">
        <v>2</v>
      </c>
      <c r="F7" s="57"/>
      <c r="G7" s="55"/>
      <c r="H7" s="19"/>
    </row>
    <row r="8" spans="1:8" x14ac:dyDescent="0.2">
      <c r="A8" s="57"/>
      <c r="B8" s="57"/>
      <c r="C8" s="57"/>
      <c r="D8" s="59"/>
      <c r="E8" s="57"/>
      <c r="F8" s="60"/>
      <c r="G8" s="55"/>
      <c r="H8" s="19"/>
    </row>
    <row r="9" spans="1:8" x14ac:dyDescent="0.2">
      <c r="A9" s="57" t="s">
        <v>76</v>
      </c>
      <c r="B9" s="57"/>
      <c r="C9" s="57"/>
      <c r="D9" s="64">
        <v>0</v>
      </c>
      <c r="E9" s="57" t="s">
        <v>77</v>
      </c>
      <c r="F9" s="57"/>
      <c r="G9" s="55"/>
      <c r="H9" s="19"/>
    </row>
    <row r="10" spans="1:8" x14ac:dyDescent="0.2">
      <c r="A10" s="57"/>
      <c r="B10" s="57"/>
      <c r="C10" s="57"/>
      <c r="D10" s="59"/>
      <c r="E10" s="57"/>
      <c r="F10" s="60"/>
      <c r="G10" s="55"/>
      <c r="H10" s="19"/>
    </row>
    <row r="11" spans="1:8" x14ac:dyDescent="0.2">
      <c r="A11" s="57" t="s">
        <v>79</v>
      </c>
      <c r="B11" s="57"/>
      <c r="C11" s="57"/>
      <c r="D11" s="63">
        <v>6000</v>
      </c>
      <c r="E11" s="57" t="s">
        <v>3</v>
      </c>
      <c r="F11" s="57"/>
      <c r="G11" s="55"/>
      <c r="H11" s="19"/>
    </row>
    <row r="12" spans="1:8" x14ac:dyDescent="0.2">
      <c r="A12" s="57" t="s">
        <v>78</v>
      </c>
      <c r="B12" s="57"/>
      <c r="C12" s="57"/>
      <c r="D12" s="63">
        <v>85000</v>
      </c>
      <c r="E12" s="57" t="s">
        <v>2</v>
      </c>
      <c r="F12" s="57"/>
      <c r="G12" s="55"/>
      <c r="H12" s="19"/>
    </row>
    <row r="13" spans="1:8" x14ac:dyDescent="0.2">
      <c r="A13" s="57"/>
      <c r="B13" s="57"/>
      <c r="C13" s="57"/>
      <c r="D13" s="58"/>
      <c r="E13" s="57"/>
      <c r="F13" s="57"/>
      <c r="G13" s="55"/>
      <c r="H13" s="19"/>
    </row>
    <row r="14" spans="1:8" x14ac:dyDescent="0.2">
      <c r="A14" s="61" t="s">
        <v>73</v>
      </c>
      <c r="B14" s="57"/>
      <c r="C14" s="57"/>
      <c r="D14" s="59"/>
      <c r="E14" s="57"/>
      <c r="F14" s="60"/>
      <c r="G14" s="55"/>
      <c r="H14" s="19"/>
    </row>
    <row r="15" spans="1:8" x14ac:dyDescent="0.2">
      <c r="A15" s="57" t="s">
        <v>80</v>
      </c>
      <c r="B15" s="57"/>
      <c r="C15" s="57"/>
      <c r="D15" s="64">
        <v>5</v>
      </c>
      <c r="E15" s="57" t="s">
        <v>1</v>
      </c>
      <c r="F15" s="60"/>
      <c r="G15" s="55"/>
      <c r="H15" s="19"/>
    </row>
    <row r="16" spans="1:8" x14ac:dyDescent="0.2">
      <c r="A16" s="57" t="s">
        <v>103</v>
      </c>
      <c r="B16" s="57"/>
      <c r="C16" s="57"/>
      <c r="D16" s="65">
        <v>20</v>
      </c>
      <c r="E16" s="57" t="s">
        <v>54</v>
      </c>
      <c r="F16" s="60"/>
      <c r="G16" s="55"/>
      <c r="H16" s="19"/>
    </row>
    <row r="17" spans="1:17" x14ac:dyDescent="0.2">
      <c r="A17" s="57" t="s">
        <v>86</v>
      </c>
      <c r="B17" s="57"/>
      <c r="C17" s="57"/>
      <c r="D17" s="65">
        <v>25</v>
      </c>
      <c r="E17" s="57" t="s">
        <v>1</v>
      </c>
      <c r="F17" s="57"/>
      <c r="G17" s="55"/>
      <c r="H17" s="19"/>
    </row>
    <row r="18" spans="1:17" x14ac:dyDescent="0.2">
      <c r="A18" s="57" t="s">
        <v>41</v>
      </c>
      <c r="B18" s="57"/>
      <c r="C18" s="57"/>
      <c r="D18" s="65">
        <v>2</v>
      </c>
      <c r="E18" s="57" t="s">
        <v>1</v>
      </c>
      <c r="F18" s="57"/>
      <c r="G18" s="55"/>
      <c r="H18" s="19"/>
    </row>
    <row r="19" spans="1:17" x14ac:dyDescent="0.2">
      <c r="A19" s="57"/>
      <c r="B19" s="57"/>
      <c r="C19" s="57"/>
      <c r="D19" s="57"/>
      <c r="E19" s="57"/>
      <c r="F19" s="57"/>
      <c r="G19" s="55"/>
      <c r="H19" s="19"/>
    </row>
    <row r="20" spans="1:17" x14ac:dyDescent="0.2">
      <c r="A20" s="34"/>
      <c r="B20" s="34"/>
      <c r="C20" s="34"/>
      <c r="D20" s="34"/>
      <c r="E20" s="34"/>
      <c r="F20" s="34"/>
      <c r="G20" s="21"/>
      <c r="H20" s="19"/>
    </row>
    <row r="21" spans="1:17" x14ac:dyDescent="0.2">
      <c r="A21" s="35" t="s">
        <v>81</v>
      </c>
      <c r="B21" s="36"/>
      <c r="C21" s="36"/>
      <c r="D21" s="36"/>
      <c r="E21" s="36"/>
      <c r="F21" s="36"/>
      <c r="G21" s="32"/>
      <c r="H21" s="19"/>
    </row>
    <row r="22" spans="1:17" x14ac:dyDescent="0.2">
      <c r="A22" s="36"/>
      <c r="B22" s="36"/>
      <c r="C22" s="36"/>
      <c r="D22" s="36"/>
      <c r="E22" s="36"/>
      <c r="F22" s="36"/>
      <c r="G22" s="36"/>
      <c r="H22" s="19"/>
    </row>
    <row r="23" spans="1:17" x14ac:dyDescent="0.2">
      <c r="A23" s="36"/>
      <c r="B23" s="37" t="s">
        <v>6</v>
      </c>
      <c r="C23" s="37" t="s">
        <v>8</v>
      </c>
      <c r="D23" s="37" t="s">
        <v>9</v>
      </c>
      <c r="E23" s="37" t="s">
        <v>10</v>
      </c>
      <c r="F23" s="37" t="s">
        <v>11</v>
      </c>
      <c r="G23" s="37" t="s">
        <v>68</v>
      </c>
      <c r="H23" s="19"/>
    </row>
    <row r="24" spans="1:17" x14ac:dyDescent="0.2">
      <c r="A24" s="36" t="s">
        <v>94</v>
      </c>
      <c r="B24" s="38">
        <f>Beregninger!B5</f>
        <v>24000</v>
      </c>
      <c r="C24" s="38">
        <f>Beregninger!F5</f>
        <v>23520</v>
      </c>
      <c r="D24" s="38">
        <f>Beregninger!K5</f>
        <v>22920</v>
      </c>
      <c r="E24" s="38">
        <f>Beregninger!P5</f>
        <v>22320</v>
      </c>
      <c r="F24" s="38">
        <f>Beregninger!U5</f>
        <v>21719.999999999996</v>
      </c>
      <c r="G24" s="38">
        <f>Beregninger!AE5</f>
        <v>20519.999999999996</v>
      </c>
      <c r="H24" s="19"/>
    </row>
    <row r="25" spans="1:17" x14ac:dyDescent="0.2">
      <c r="A25" s="36" t="s">
        <v>5</v>
      </c>
      <c r="B25" s="38">
        <f>Beregninger!B6</f>
        <v>5758.1199112087625</v>
      </c>
      <c r="C25" s="38">
        <f>Beregninger!F6</f>
        <v>5896.6160755187457</v>
      </c>
      <c r="D25" s="38">
        <f>Beregninger!K6</f>
        <v>6112.4337336101562</v>
      </c>
      <c r="E25" s="38">
        <f>Beregninger!P6</f>
        <v>6387.8778314941528</v>
      </c>
      <c r="F25" s="38">
        <f>Beregninger!U6</f>
        <v>6739.4220551229437</v>
      </c>
      <c r="G25" s="38">
        <f>Beregninger!AE6</f>
        <v>-3.1745807845724443E-13</v>
      </c>
      <c r="H25" s="19"/>
      <c r="I25" s="19"/>
      <c r="J25" s="19"/>
      <c r="K25" s="19"/>
      <c r="L25" s="19"/>
      <c r="M25" s="19"/>
      <c r="N25" s="19"/>
      <c r="O25" s="19"/>
      <c r="P25" s="19"/>
      <c r="Q25" s="19"/>
    </row>
    <row r="26" spans="1:17" x14ac:dyDescent="0.2">
      <c r="A26" s="36" t="s">
        <v>101</v>
      </c>
      <c r="B26" s="38">
        <f>+Beregninger!B7</f>
        <v>680</v>
      </c>
      <c r="C26" s="38">
        <f>+B26*5</f>
        <v>3400</v>
      </c>
      <c r="D26" s="38">
        <f>+B26*10</f>
        <v>6800</v>
      </c>
      <c r="E26" s="38">
        <f>+B26*15</f>
        <v>10200</v>
      </c>
      <c r="F26" s="38"/>
      <c r="G26" s="38"/>
      <c r="H26" s="19"/>
      <c r="I26" s="19"/>
      <c r="J26" s="19"/>
      <c r="K26" s="19"/>
      <c r="L26" s="19"/>
      <c r="M26" s="19"/>
      <c r="N26" s="19"/>
      <c r="O26" s="19"/>
      <c r="P26" s="19"/>
      <c r="Q26" s="19"/>
    </row>
    <row r="27" spans="1:17" x14ac:dyDescent="0.2">
      <c r="A27" s="36" t="s">
        <v>102</v>
      </c>
      <c r="B27" s="54">
        <f>+Beregninger!B24</f>
        <v>4000</v>
      </c>
      <c r="C27" s="54">
        <f>+Beregninger!F24</f>
        <v>4480</v>
      </c>
      <c r="D27" s="54">
        <f>+Beregninger!K24</f>
        <v>5080</v>
      </c>
      <c r="E27" s="54">
        <f>+Beregninger!P24</f>
        <v>5680</v>
      </c>
      <c r="F27" s="54">
        <f>+Beregninger!U24</f>
        <v>6280.0000000000036</v>
      </c>
      <c r="G27" s="54">
        <f>+Beregninger!AE24</f>
        <v>7480.0000000000036</v>
      </c>
      <c r="H27" s="19"/>
      <c r="I27" s="19"/>
      <c r="J27" s="19"/>
      <c r="K27" s="19"/>
      <c r="L27" s="19"/>
      <c r="M27" s="19"/>
      <c r="N27" s="19"/>
      <c r="O27" s="19"/>
      <c r="P27" s="19"/>
      <c r="Q27" s="19"/>
    </row>
    <row r="28" spans="1:17" x14ac:dyDescent="0.2">
      <c r="A28" s="39" t="s">
        <v>100</v>
      </c>
      <c r="B28" s="40">
        <f>Beregninger!B11</f>
        <v>17561.880088791237</v>
      </c>
      <c r="C28" s="40">
        <f>+Beregninger!F11</f>
        <v>74773.213929541496</v>
      </c>
      <c r="D28" s="40">
        <f>+Beregninger!K11</f>
        <v>127669.60261556385</v>
      </c>
      <c r="E28" s="40">
        <f>+Beregninger!P11</f>
        <v>163571.83747847241</v>
      </c>
      <c r="F28" s="40">
        <f>+Beregninger!U11</f>
        <v>188098.16130605471</v>
      </c>
      <c r="G28" s="40">
        <f>+Beregninger!AE11</f>
        <v>248913.35127383104</v>
      </c>
      <c r="H28" s="19"/>
      <c r="I28" s="19"/>
      <c r="J28" s="19"/>
      <c r="K28" s="19"/>
      <c r="L28" s="19"/>
      <c r="M28" s="19"/>
      <c r="N28" s="19"/>
      <c r="O28" s="19"/>
      <c r="P28" s="19"/>
      <c r="Q28" s="19"/>
    </row>
    <row r="29" spans="1:17" x14ac:dyDescent="0.2">
      <c r="A29" s="36"/>
      <c r="B29" s="36"/>
      <c r="C29" s="36"/>
      <c r="D29" s="36"/>
      <c r="E29" s="36"/>
      <c r="F29" s="36"/>
      <c r="G29" s="36"/>
      <c r="H29" s="19"/>
      <c r="I29" s="19"/>
      <c r="J29" s="19"/>
      <c r="K29" s="19"/>
      <c r="L29" s="19"/>
      <c r="M29" s="19"/>
      <c r="N29" s="19"/>
      <c r="O29" s="19"/>
      <c r="P29" s="19"/>
      <c r="Q29" s="19"/>
    </row>
    <row r="30" spans="1:17" x14ac:dyDescent="0.2">
      <c r="A30" s="36" t="s">
        <v>70</v>
      </c>
      <c r="B30" s="36">
        <f>Beregninger!B17</f>
        <v>1.0730199852014604</v>
      </c>
      <c r="C30" s="36">
        <f>Beregninger!F17</f>
        <v>1.1184721216868616</v>
      </c>
      <c r="D30" s="36">
        <f>Beregninger!K17</f>
        <v>1.1854160093560482</v>
      </c>
      <c r="E30" s="36">
        <f>Beregninger!P17</f>
        <v>1.2666447726692029</v>
      </c>
      <c r="F30" s="36">
        <f>Beregninger!U17</f>
        <v>1.2411458665051465</v>
      </c>
      <c r="G30" s="36">
        <f>Beregninger!AE17</f>
        <v>-6.1882666365934593E-17</v>
      </c>
      <c r="H30" s="19"/>
      <c r="I30" s="19"/>
      <c r="J30" s="19"/>
      <c r="K30" s="19"/>
      <c r="L30" s="19"/>
      <c r="M30" s="19"/>
      <c r="N30" s="19"/>
      <c r="O30" s="19"/>
      <c r="P30" s="19"/>
      <c r="Q30" s="19"/>
    </row>
    <row r="31" spans="1:17" x14ac:dyDescent="0.2">
      <c r="A31" s="36" t="s">
        <v>71</v>
      </c>
      <c r="B31" s="36">
        <f>Beregninger!B18</f>
        <v>4</v>
      </c>
      <c r="C31" s="36">
        <f>Beregninger!F18</f>
        <v>4</v>
      </c>
      <c r="D31" s="36">
        <f>Beregninger!K18</f>
        <v>4</v>
      </c>
      <c r="E31" s="36">
        <f>Beregninger!P18</f>
        <v>4</v>
      </c>
      <c r="F31" s="36">
        <f>Beregninger!U18</f>
        <v>4</v>
      </c>
      <c r="G31" s="36">
        <f>Beregninger!AE18</f>
        <v>4</v>
      </c>
      <c r="H31" s="19"/>
      <c r="I31" s="19"/>
      <c r="J31" s="19"/>
      <c r="K31" s="19"/>
      <c r="L31" s="19"/>
      <c r="M31" s="19"/>
      <c r="N31" s="19"/>
      <c r="O31" s="19"/>
      <c r="P31" s="19"/>
      <c r="Q31" s="19"/>
    </row>
    <row r="32" spans="1:17" x14ac:dyDescent="0.2">
      <c r="A32" s="36"/>
      <c r="B32" s="36"/>
      <c r="C32" s="36"/>
      <c r="D32" s="36"/>
      <c r="E32" s="36"/>
      <c r="F32" s="36"/>
      <c r="G32" s="36"/>
      <c r="H32" s="19"/>
      <c r="I32" s="19"/>
      <c r="J32" s="19"/>
      <c r="K32" s="19"/>
      <c r="L32" s="19"/>
      <c r="M32" s="19"/>
      <c r="N32" s="19"/>
      <c r="O32" s="19"/>
      <c r="P32" s="19"/>
      <c r="Q32" s="19"/>
    </row>
    <row r="33" spans="1:17" x14ac:dyDescent="0.2">
      <c r="A33" s="36" t="s">
        <v>106</v>
      </c>
      <c r="B33" s="38">
        <f>Beregninger!B23</f>
        <v>28000</v>
      </c>
      <c r="C33" s="38">
        <f>Beregninger!F23</f>
        <v>25360.462675237646</v>
      </c>
      <c r="D33" s="38">
        <f>Beregninger!K23</f>
        <v>22969.752396504347</v>
      </c>
      <c r="E33" s="38">
        <f>Beregninger!P23</f>
        <v>20804.412439678541</v>
      </c>
      <c r="F33" s="38">
        <f>Beregninger!U23</f>
        <v>18843.197327025617</v>
      </c>
      <c r="G33" s="38">
        <f>Beregninger!AE23</f>
        <v>15457.984891437536</v>
      </c>
      <c r="H33" s="19"/>
      <c r="I33" s="19"/>
      <c r="J33" s="19"/>
      <c r="K33" s="19"/>
      <c r="L33" s="19"/>
      <c r="M33" s="19"/>
      <c r="N33" s="19"/>
      <c r="O33" s="19"/>
      <c r="P33" s="19"/>
      <c r="Q33" s="19"/>
    </row>
    <row r="34" spans="1:17" x14ac:dyDescent="0.2">
      <c r="A34" s="36" t="s">
        <v>105</v>
      </c>
      <c r="B34" s="38">
        <f>Beregninger!B28</f>
        <v>10438.119911208763</v>
      </c>
      <c r="C34" s="38">
        <f>Beregninger!F28</f>
        <v>10014.317832058059</v>
      </c>
      <c r="D34" s="38">
        <f>Beregninger!K28</f>
        <v>9739.5308287475345</v>
      </c>
      <c r="E34" s="38">
        <f>Beregninger!P28</f>
        <v>9471.8610048942573</v>
      </c>
      <c r="F34" s="38">
        <f>Beregninger!U28</f>
        <v>8761.6978167325396</v>
      </c>
      <c r="G34" s="38">
        <f>Beregninger!AE28</f>
        <v>4129.4902495697443</v>
      </c>
      <c r="H34" s="19"/>
      <c r="I34" s="19"/>
      <c r="J34" s="19"/>
      <c r="K34" s="19"/>
      <c r="L34" s="19"/>
      <c r="M34" s="19"/>
      <c r="N34" s="19"/>
      <c r="O34" s="19"/>
      <c r="P34" s="19"/>
      <c r="Q34" s="19"/>
    </row>
    <row r="35" spans="1:17" x14ac:dyDescent="0.2">
      <c r="A35" s="34"/>
      <c r="B35" s="34"/>
      <c r="C35" s="34"/>
      <c r="D35" s="34"/>
      <c r="E35" s="34"/>
      <c r="F35" s="34"/>
      <c r="G35" s="34"/>
      <c r="H35" s="19"/>
      <c r="I35" s="19"/>
      <c r="J35" s="19"/>
      <c r="K35" s="19"/>
      <c r="L35" s="19"/>
      <c r="M35" s="19"/>
      <c r="N35" s="19"/>
      <c r="O35" s="19"/>
      <c r="P35" s="19"/>
      <c r="Q35" s="19"/>
    </row>
    <row r="36" spans="1:17" x14ac:dyDescent="0.2">
      <c r="A36" s="41" t="s">
        <v>82</v>
      </c>
      <c r="B36" s="33"/>
      <c r="C36" s="33"/>
      <c r="D36" s="42"/>
      <c r="E36" s="42"/>
      <c r="F36" s="42"/>
      <c r="G36" s="31"/>
      <c r="H36" s="19"/>
      <c r="I36" s="19"/>
      <c r="J36" s="19"/>
      <c r="K36" s="19"/>
      <c r="L36" s="19"/>
      <c r="M36" s="19"/>
      <c r="N36" s="19"/>
      <c r="O36" s="19"/>
      <c r="P36" s="19"/>
      <c r="Q36" s="19"/>
    </row>
    <row r="37" spans="1:17" x14ac:dyDescent="0.2">
      <c r="A37" s="43"/>
      <c r="B37" s="33"/>
      <c r="C37" s="33"/>
      <c r="D37" s="33"/>
      <c r="E37" s="33"/>
      <c r="F37" s="33"/>
      <c r="G37" s="30"/>
      <c r="H37" s="23"/>
      <c r="I37" s="24"/>
      <c r="J37" s="24"/>
      <c r="K37" s="24"/>
      <c r="L37" s="24"/>
      <c r="M37" s="24"/>
      <c r="N37" s="24"/>
      <c r="O37" s="24"/>
      <c r="P37" s="19"/>
      <c r="Q37" s="19"/>
    </row>
    <row r="38" spans="1:17" x14ac:dyDescent="0.2">
      <c r="A38" s="33" t="s">
        <v>84</v>
      </c>
      <c r="B38" s="33"/>
      <c r="C38" s="33"/>
      <c r="D38" s="33"/>
      <c r="E38" s="33"/>
      <c r="F38" s="33"/>
      <c r="G38" s="30"/>
      <c r="H38" s="23"/>
      <c r="I38" s="24"/>
      <c r="J38" s="24"/>
      <c r="K38" s="24"/>
      <c r="L38" s="24"/>
      <c r="M38" s="24"/>
      <c r="N38" s="24"/>
      <c r="O38" s="24"/>
      <c r="P38" s="19"/>
      <c r="Q38" s="19"/>
    </row>
    <row r="39" spans="1:17" x14ac:dyDescent="0.2">
      <c r="A39" s="33" t="s">
        <v>83</v>
      </c>
      <c r="B39" s="33"/>
      <c r="C39" s="33"/>
      <c r="D39" s="33"/>
      <c r="E39" s="33"/>
      <c r="F39" s="33"/>
      <c r="G39" s="30"/>
      <c r="H39" s="23"/>
      <c r="I39" s="24"/>
      <c r="J39" s="24"/>
      <c r="K39" s="24"/>
      <c r="L39" s="24"/>
      <c r="M39" s="24"/>
      <c r="N39" s="24"/>
      <c r="O39" s="24"/>
      <c r="P39" s="19"/>
      <c r="Q39" s="19"/>
    </row>
    <row r="40" spans="1:17" x14ac:dyDescent="0.2">
      <c r="A40" s="33" t="s">
        <v>85</v>
      </c>
      <c r="B40" s="33"/>
      <c r="C40" s="33"/>
      <c r="D40" s="33"/>
      <c r="E40" s="33"/>
      <c r="F40" s="33"/>
      <c r="G40" s="30"/>
      <c r="H40" s="23"/>
      <c r="I40" s="24"/>
      <c r="J40" s="24"/>
      <c r="K40" s="24"/>
      <c r="L40" s="24"/>
      <c r="M40" s="24"/>
      <c r="N40" s="24"/>
      <c r="O40" s="24"/>
      <c r="P40" s="19"/>
      <c r="Q40" s="19"/>
    </row>
    <row r="41" spans="1:17" x14ac:dyDescent="0.2">
      <c r="A41" s="33" t="s">
        <v>92</v>
      </c>
      <c r="B41" s="33"/>
      <c r="C41" s="33"/>
      <c r="D41" s="33"/>
      <c r="E41" s="33"/>
      <c r="F41" s="33"/>
      <c r="G41" s="30"/>
      <c r="H41" s="23"/>
      <c r="I41" s="24"/>
      <c r="J41" s="24"/>
      <c r="K41" s="24"/>
      <c r="L41" s="24"/>
      <c r="M41" s="24"/>
      <c r="N41" s="24"/>
      <c r="O41" s="24"/>
      <c r="P41" s="19"/>
      <c r="Q41" s="19"/>
    </row>
    <row r="42" spans="1:17" x14ac:dyDescent="0.2">
      <c r="A42" s="43" t="s">
        <v>93</v>
      </c>
      <c r="B42" s="33"/>
      <c r="C42" s="33"/>
      <c r="D42" s="33"/>
      <c r="E42" s="33"/>
      <c r="F42" s="33"/>
      <c r="G42" s="30"/>
      <c r="H42" s="23"/>
      <c r="I42" s="24"/>
      <c r="J42" s="24"/>
      <c r="K42" s="24"/>
      <c r="L42" s="24"/>
      <c r="M42" s="24"/>
      <c r="N42" s="24"/>
      <c r="O42" s="24"/>
      <c r="P42" s="19"/>
      <c r="Q42" s="19"/>
    </row>
    <row r="43" spans="1:17" x14ac:dyDescent="0.2">
      <c r="A43" s="43" t="s">
        <v>95</v>
      </c>
      <c r="B43" s="33"/>
      <c r="C43" s="33"/>
      <c r="D43" s="33"/>
      <c r="E43" s="33"/>
      <c r="F43" s="33"/>
      <c r="G43" s="30"/>
      <c r="H43" s="23"/>
      <c r="I43" s="24"/>
      <c r="J43" s="24"/>
      <c r="K43" s="24"/>
      <c r="L43" s="24"/>
      <c r="M43" s="24"/>
      <c r="N43" s="24"/>
      <c r="O43" s="24"/>
      <c r="P43" s="19"/>
      <c r="Q43" s="19"/>
    </row>
    <row r="44" spans="1:17" x14ac:dyDescent="0.2">
      <c r="A44" s="43"/>
      <c r="B44" s="33"/>
      <c r="C44" s="33"/>
      <c r="D44" s="33"/>
      <c r="E44" s="33"/>
      <c r="F44" s="33"/>
      <c r="G44" s="30"/>
      <c r="H44" s="23"/>
      <c r="I44" s="24"/>
      <c r="J44" s="24"/>
      <c r="K44" s="24"/>
      <c r="L44" s="24"/>
      <c r="M44" s="24"/>
      <c r="N44" s="24"/>
      <c r="O44" s="24"/>
      <c r="P44" s="19"/>
      <c r="Q44" s="19"/>
    </row>
    <row r="45" spans="1:17" x14ac:dyDescent="0.2">
      <c r="A45" s="41" t="s">
        <v>99</v>
      </c>
      <c r="B45" s="33"/>
      <c r="C45" s="33"/>
      <c r="D45" s="33"/>
      <c r="E45" s="33"/>
      <c r="F45" s="33"/>
      <c r="G45" s="30"/>
      <c r="H45" s="19"/>
      <c r="I45" s="19"/>
      <c r="J45" s="19"/>
      <c r="K45" s="19"/>
      <c r="L45" s="19"/>
      <c r="M45" s="19"/>
      <c r="N45" s="19"/>
      <c r="O45" s="19"/>
      <c r="P45" s="19"/>
      <c r="Q45" s="19"/>
    </row>
    <row r="46" spans="1:17" x14ac:dyDescent="0.2">
      <c r="A46" s="43" t="s">
        <v>96</v>
      </c>
      <c r="B46" s="33"/>
      <c r="C46" s="33"/>
      <c r="D46" s="33"/>
      <c r="E46" s="33"/>
      <c r="F46" s="33"/>
      <c r="G46" s="30"/>
      <c r="H46" s="19"/>
      <c r="I46" s="19"/>
      <c r="J46" s="19"/>
      <c r="K46" s="19"/>
      <c r="L46" s="19"/>
      <c r="M46" s="19"/>
      <c r="N46" s="19"/>
      <c r="O46" s="19"/>
      <c r="P46" s="19"/>
      <c r="Q46" s="19"/>
    </row>
    <row r="47" spans="1:17" x14ac:dyDescent="0.2">
      <c r="A47" s="33" t="s">
        <v>97</v>
      </c>
      <c r="B47" s="33"/>
      <c r="C47" s="33"/>
      <c r="D47" s="33"/>
      <c r="E47" s="33"/>
      <c r="F47" s="33"/>
      <c r="G47" s="30"/>
      <c r="H47" s="19"/>
      <c r="I47" s="19"/>
      <c r="J47" s="19"/>
      <c r="K47" s="19"/>
      <c r="L47" s="19"/>
      <c r="M47" s="19"/>
      <c r="N47" s="19"/>
      <c r="O47" s="19"/>
      <c r="P47" s="19"/>
      <c r="Q47" s="19"/>
    </row>
    <row r="48" spans="1:17" x14ac:dyDescent="0.2">
      <c r="A48" s="33" t="s">
        <v>98</v>
      </c>
      <c r="B48" s="33"/>
      <c r="C48" s="33"/>
      <c r="D48" s="33"/>
      <c r="E48" s="33"/>
      <c r="F48" s="33"/>
      <c r="G48" s="30"/>
      <c r="H48" s="19"/>
      <c r="I48" s="19"/>
      <c r="J48" s="19"/>
      <c r="K48" s="19"/>
      <c r="L48" s="19"/>
      <c r="M48" s="19"/>
      <c r="N48" s="19"/>
      <c r="O48" s="19"/>
      <c r="P48" s="19"/>
      <c r="Q48" s="19"/>
    </row>
    <row r="49" spans="1:17" x14ac:dyDescent="0.2">
      <c r="A49" s="21"/>
      <c r="B49" s="21"/>
      <c r="C49" s="21"/>
      <c r="D49" s="21"/>
      <c r="E49" s="21"/>
      <c r="F49" s="21"/>
      <c r="G49" s="21"/>
      <c r="H49" s="19"/>
      <c r="I49" s="19"/>
      <c r="J49" s="19"/>
      <c r="K49" s="19"/>
      <c r="L49" s="19"/>
      <c r="M49" s="19"/>
      <c r="N49" s="19"/>
      <c r="O49" s="19"/>
      <c r="P49" s="19"/>
      <c r="Q49" s="19"/>
    </row>
    <row r="50" spans="1:17" x14ac:dyDescent="0.2">
      <c r="A50" s="44" t="s">
        <v>87</v>
      </c>
      <c r="B50" s="33"/>
      <c r="C50" s="33"/>
      <c r="D50" s="33"/>
      <c r="E50" s="33"/>
      <c r="F50" s="33"/>
      <c r="G50" s="33"/>
      <c r="H50" s="33"/>
      <c r="I50" s="33"/>
      <c r="J50" s="33"/>
      <c r="K50" s="33"/>
      <c r="L50" s="33"/>
      <c r="M50" s="33"/>
      <c r="N50" s="33"/>
      <c r="O50" s="33"/>
      <c r="P50" s="33"/>
      <c r="Q50" s="33"/>
    </row>
    <row r="51" spans="1:17" x14ac:dyDescent="0.2">
      <c r="A51" s="83" t="s">
        <v>121</v>
      </c>
      <c r="B51" s="84"/>
      <c r="C51" s="84"/>
      <c r="D51" s="84"/>
      <c r="E51" s="84"/>
      <c r="F51" s="84"/>
      <c r="G51" s="84"/>
      <c r="H51" s="84"/>
      <c r="I51" s="84"/>
      <c r="J51" s="84"/>
      <c r="K51" s="84"/>
      <c r="L51" s="84"/>
      <c r="M51" s="84"/>
      <c r="N51" s="84"/>
      <c r="O51" s="84"/>
      <c r="P51" s="84"/>
      <c r="Q51" s="84"/>
    </row>
    <row r="52" spans="1:17" x14ac:dyDescent="0.2">
      <c r="A52" s="84"/>
      <c r="B52" s="84"/>
      <c r="C52" s="84"/>
      <c r="D52" s="84"/>
      <c r="E52" s="84"/>
      <c r="F52" s="84"/>
      <c r="G52" s="84"/>
      <c r="H52" s="84"/>
      <c r="I52" s="84"/>
      <c r="J52" s="84"/>
      <c r="K52" s="84"/>
      <c r="L52" s="84"/>
      <c r="M52" s="84"/>
      <c r="N52" s="84"/>
      <c r="O52" s="84"/>
      <c r="P52" s="84"/>
      <c r="Q52" s="84"/>
    </row>
    <row r="53" spans="1:17" x14ac:dyDescent="0.2">
      <c r="A53" s="85"/>
      <c r="B53" s="85"/>
      <c r="C53" s="85"/>
      <c r="D53" s="85"/>
      <c r="E53" s="85"/>
      <c r="F53" s="85"/>
      <c r="G53" s="85"/>
      <c r="H53" s="85"/>
      <c r="I53" s="85"/>
      <c r="J53" s="85"/>
      <c r="K53" s="85"/>
      <c r="L53" s="85"/>
      <c r="M53" s="85"/>
      <c r="N53" s="85"/>
      <c r="O53" s="85"/>
      <c r="P53" s="85"/>
      <c r="Q53" s="85"/>
    </row>
    <row r="54" spans="1:17" x14ac:dyDescent="0.2">
      <c r="A54" s="85"/>
      <c r="B54" s="85"/>
      <c r="C54" s="85"/>
      <c r="D54" s="85"/>
      <c r="E54" s="85"/>
      <c r="F54" s="85"/>
      <c r="G54" s="85"/>
      <c r="H54" s="85"/>
      <c r="I54" s="85"/>
      <c r="J54" s="85"/>
      <c r="K54" s="85"/>
      <c r="L54" s="85"/>
      <c r="M54" s="85"/>
      <c r="N54" s="85"/>
      <c r="O54" s="85"/>
      <c r="P54" s="85"/>
      <c r="Q54" s="85"/>
    </row>
    <row r="55" spans="1:17" s="62" customFormat="1" x14ac:dyDescent="0.2">
      <c r="A55" s="85"/>
      <c r="B55" s="85"/>
      <c r="C55" s="85"/>
      <c r="D55" s="85"/>
      <c r="E55" s="85"/>
      <c r="F55" s="85"/>
      <c r="G55" s="85"/>
      <c r="H55" s="85"/>
      <c r="I55" s="85"/>
      <c r="J55" s="85"/>
      <c r="K55" s="85"/>
      <c r="L55" s="85"/>
      <c r="M55" s="85"/>
      <c r="N55" s="85"/>
      <c r="O55" s="85"/>
      <c r="P55" s="85"/>
      <c r="Q55" s="85"/>
    </row>
    <row r="56" spans="1:17" x14ac:dyDescent="0.2">
      <c r="A56" s="20"/>
      <c r="B56" s="19"/>
      <c r="C56" s="19"/>
      <c r="D56" s="19"/>
      <c r="E56" s="19"/>
      <c r="F56" s="19"/>
      <c r="G56" s="19"/>
      <c r="H56" s="19"/>
      <c r="I56" s="19"/>
      <c r="J56" s="19"/>
      <c r="K56" s="19"/>
      <c r="L56" s="19"/>
      <c r="M56" s="19"/>
      <c r="N56" s="19"/>
      <c r="O56" s="19"/>
      <c r="P56" s="19"/>
      <c r="Q56" s="19"/>
    </row>
    <row r="57" spans="1:17" x14ac:dyDescent="0.2">
      <c r="A57" s="19"/>
      <c r="B57" s="19"/>
      <c r="C57" s="19"/>
      <c r="D57" s="19"/>
      <c r="E57" s="19"/>
      <c r="F57" s="19"/>
      <c r="G57" s="19"/>
      <c r="H57" s="19"/>
      <c r="I57" s="19"/>
      <c r="J57" s="19"/>
      <c r="K57" s="19"/>
      <c r="L57" s="19"/>
      <c r="M57" s="19"/>
      <c r="N57" s="19"/>
      <c r="O57" s="19"/>
      <c r="P57" s="19"/>
      <c r="Q57" s="19"/>
    </row>
    <row r="58" spans="1:17" x14ac:dyDescent="0.2">
      <c r="A58" s="19"/>
      <c r="B58" s="19"/>
      <c r="C58" s="19"/>
      <c r="D58" s="19"/>
      <c r="E58" s="19"/>
      <c r="F58" s="19"/>
      <c r="G58" s="19"/>
      <c r="H58" s="19"/>
      <c r="I58" s="19"/>
      <c r="J58" s="19"/>
      <c r="K58" s="19"/>
      <c r="L58" s="19"/>
      <c r="M58" s="19"/>
      <c r="N58" s="19"/>
      <c r="O58" s="19"/>
      <c r="P58" s="19"/>
      <c r="Q58" s="19"/>
    </row>
    <row r="59" spans="1:17" x14ac:dyDescent="0.2">
      <c r="B59" s="19"/>
      <c r="C59" s="19"/>
      <c r="D59" s="19"/>
      <c r="E59" s="19"/>
      <c r="F59" s="19"/>
      <c r="G59" s="19"/>
      <c r="H59" s="19"/>
      <c r="I59" s="19"/>
      <c r="J59" s="19"/>
      <c r="K59" s="19"/>
      <c r="L59" s="19"/>
      <c r="M59" s="19"/>
      <c r="N59" s="19"/>
      <c r="O59" s="19"/>
      <c r="P59" s="19"/>
      <c r="Q59" s="19"/>
    </row>
    <row r="60" spans="1:17" x14ac:dyDescent="0.2">
      <c r="A60" s="20"/>
      <c r="B60" s="19"/>
      <c r="C60" s="19"/>
      <c r="D60" s="19"/>
      <c r="E60" s="19"/>
      <c r="F60" s="19"/>
      <c r="G60" s="19"/>
      <c r="H60" s="19"/>
      <c r="I60" s="19"/>
      <c r="J60" s="19"/>
      <c r="K60" s="19"/>
      <c r="L60" s="19"/>
      <c r="M60" s="19"/>
      <c r="N60" s="19"/>
      <c r="O60" s="19"/>
      <c r="P60" s="19"/>
      <c r="Q60" s="19"/>
    </row>
    <row r="61" spans="1:17" x14ac:dyDescent="0.2">
      <c r="A61" s="20"/>
      <c r="B61" s="19"/>
      <c r="C61" s="19"/>
      <c r="D61" s="19"/>
      <c r="E61" s="19"/>
      <c r="F61" s="19"/>
      <c r="G61" s="19"/>
      <c r="H61" s="19"/>
      <c r="I61" s="19"/>
      <c r="J61" s="19"/>
      <c r="K61" s="19"/>
      <c r="L61" s="19"/>
      <c r="M61" s="19"/>
      <c r="N61" s="19"/>
      <c r="O61" s="19"/>
      <c r="P61" s="19"/>
      <c r="Q61" s="19"/>
    </row>
    <row r="62" spans="1:17" x14ac:dyDescent="0.2">
      <c r="A62" s="20"/>
      <c r="B62" s="19"/>
      <c r="C62" s="19"/>
      <c r="D62" s="19"/>
      <c r="E62" s="19"/>
      <c r="F62" s="19"/>
      <c r="G62" s="19"/>
      <c r="H62" s="19"/>
      <c r="I62" s="19"/>
      <c r="J62" s="19"/>
      <c r="K62" s="19"/>
      <c r="L62" s="19"/>
      <c r="M62" s="19"/>
      <c r="N62" s="19"/>
      <c r="O62" s="19"/>
      <c r="P62" s="19"/>
      <c r="Q62" s="19"/>
    </row>
    <row r="63" spans="1:17" x14ac:dyDescent="0.2">
      <c r="A63" s="20"/>
      <c r="B63" s="19"/>
      <c r="C63" s="19"/>
      <c r="D63" s="19"/>
      <c r="E63" s="19"/>
      <c r="F63" s="19"/>
      <c r="G63" s="19"/>
      <c r="H63" s="19"/>
      <c r="I63" s="19"/>
      <c r="J63" s="19"/>
      <c r="K63" s="19"/>
      <c r="L63" s="19"/>
      <c r="M63" s="19"/>
      <c r="N63" s="19"/>
      <c r="O63" s="19"/>
      <c r="P63" s="19"/>
      <c r="Q63" s="19"/>
    </row>
    <row r="64" spans="1:17" x14ac:dyDescent="0.2">
      <c r="A64" s="20"/>
      <c r="B64" s="19"/>
      <c r="C64" s="19"/>
      <c r="D64" s="19"/>
      <c r="E64" s="19"/>
      <c r="F64" s="19"/>
      <c r="G64" s="19"/>
      <c r="H64" s="19"/>
      <c r="I64" s="19"/>
      <c r="J64" s="19"/>
      <c r="K64" s="19"/>
      <c r="L64" s="19"/>
      <c r="M64" s="19"/>
      <c r="N64" s="19"/>
      <c r="O64" s="19"/>
      <c r="P64" s="19"/>
      <c r="Q64" s="19"/>
    </row>
    <row r="65" spans="1:17" x14ac:dyDescent="0.2">
      <c r="A65" s="20"/>
      <c r="B65" s="19"/>
      <c r="C65" s="19"/>
      <c r="D65" s="19"/>
      <c r="E65" s="19"/>
      <c r="F65" s="19"/>
      <c r="G65" s="19"/>
      <c r="H65" s="19"/>
      <c r="I65" s="19"/>
      <c r="J65" s="19"/>
      <c r="K65" s="19"/>
      <c r="L65" s="19"/>
      <c r="M65" s="19"/>
      <c r="N65" s="19"/>
      <c r="O65" s="19"/>
      <c r="P65" s="19"/>
      <c r="Q65" s="19"/>
    </row>
    <row r="66" spans="1:17" x14ac:dyDescent="0.2">
      <c r="A66" s="19"/>
      <c r="B66" s="19"/>
      <c r="C66" s="19"/>
      <c r="D66" s="19"/>
      <c r="E66" s="19"/>
      <c r="F66" s="19"/>
      <c r="G66" s="19"/>
      <c r="H66" s="19"/>
      <c r="I66" s="19"/>
      <c r="J66" s="19"/>
      <c r="K66" s="19"/>
      <c r="L66" s="19"/>
      <c r="M66" s="19"/>
      <c r="N66" s="19"/>
      <c r="O66" s="19"/>
      <c r="P66" s="19"/>
      <c r="Q66" s="19"/>
    </row>
    <row r="67" spans="1:17" x14ac:dyDescent="0.2">
      <c r="A67" s="19"/>
      <c r="B67" s="19"/>
      <c r="C67" s="19"/>
      <c r="D67" s="19"/>
      <c r="E67" s="19"/>
      <c r="F67" s="19"/>
      <c r="G67" s="19"/>
      <c r="H67" s="19"/>
      <c r="I67" s="19"/>
      <c r="J67" s="19"/>
      <c r="K67" s="19"/>
      <c r="L67" s="19"/>
      <c r="M67" s="19"/>
      <c r="N67" s="19"/>
      <c r="O67" s="19"/>
      <c r="P67" s="19"/>
      <c r="Q67" s="19"/>
    </row>
    <row r="68" spans="1:17" x14ac:dyDescent="0.2">
      <c r="A68" s="19"/>
      <c r="B68" s="19"/>
      <c r="C68" s="19"/>
      <c r="D68" s="19"/>
      <c r="E68" s="19"/>
      <c r="F68" s="19"/>
      <c r="G68" s="19"/>
      <c r="H68" s="19"/>
      <c r="I68" s="19"/>
      <c r="J68" s="19"/>
      <c r="K68" s="19"/>
      <c r="L68" s="19"/>
      <c r="M68" s="19"/>
      <c r="N68" s="19"/>
      <c r="O68" s="19"/>
      <c r="P68" s="19"/>
      <c r="Q68" s="19"/>
    </row>
    <row r="69" spans="1:17" x14ac:dyDescent="0.2">
      <c r="A69" s="19"/>
      <c r="B69" s="19"/>
      <c r="C69" s="19"/>
      <c r="D69" s="19"/>
      <c r="E69" s="19"/>
      <c r="F69" s="19"/>
      <c r="G69" s="19"/>
      <c r="H69" s="19"/>
      <c r="I69" s="19"/>
      <c r="J69" s="19"/>
      <c r="K69" s="19"/>
      <c r="L69" s="19"/>
      <c r="M69" s="19"/>
      <c r="N69" s="19"/>
      <c r="O69" s="19"/>
      <c r="P69" s="19"/>
      <c r="Q69" s="19"/>
    </row>
    <row r="70" spans="1:17" x14ac:dyDescent="0.2">
      <c r="A70" s="19"/>
      <c r="B70" s="19"/>
      <c r="C70" s="19"/>
      <c r="D70" s="19"/>
      <c r="E70" s="19"/>
      <c r="F70" s="19"/>
      <c r="G70" s="19"/>
      <c r="H70" s="19"/>
      <c r="I70" s="19"/>
      <c r="J70" s="19"/>
      <c r="K70" s="19"/>
      <c r="L70" s="19"/>
      <c r="M70" s="19"/>
      <c r="N70" s="19"/>
      <c r="O70" s="19"/>
      <c r="P70" s="19"/>
      <c r="Q70" s="19"/>
    </row>
    <row r="71" spans="1:17" x14ac:dyDescent="0.2">
      <c r="A71" s="19"/>
      <c r="B71" s="19"/>
      <c r="C71" s="19"/>
      <c r="D71" s="19"/>
      <c r="E71" s="19"/>
      <c r="F71" s="19"/>
      <c r="G71" s="19"/>
      <c r="H71" s="19"/>
      <c r="I71" s="19"/>
      <c r="J71" s="19"/>
      <c r="K71" s="19"/>
      <c r="L71" s="19"/>
      <c r="M71" s="19"/>
      <c r="N71" s="19"/>
      <c r="O71" s="19"/>
      <c r="P71" s="19"/>
      <c r="Q71" s="19"/>
    </row>
    <row r="72" spans="1:17" x14ac:dyDescent="0.2">
      <c r="A72" s="19"/>
      <c r="B72" s="19"/>
      <c r="C72" s="19"/>
      <c r="D72" s="19"/>
      <c r="E72" s="19"/>
      <c r="F72" s="19"/>
      <c r="G72" s="19"/>
      <c r="H72" s="19"/>
      <c r="I72" s="19"/>
      <c r="J72" s="19"/>
      <c r="K72" s="19"/>
      <c r="L72" s="19"/>
      <c r="M72" s="19"/>
      <c r="N72" s="19"/>
      <c r="O72" s="19"/>
      <c r="P72" s="19"/>
      <c r="Q72" s="19"/>
    </row>
    <row r="73" spans="1:17" x14ac:dyDescent="0.2">
      <c r="A73" s="19"/>
      <c r="B73" s="19"/>
      <c r="C73" s="19"/>
      <c r="D73" s="19"/>
      <c r="E73" s="19"/>
      <c r="F73" s="19"/>
      <c r="G73" s="19"/>
      <c r="H73" s="19"/>
      <c r="I73" s="19"/>
      <c r="J73" s="19"/>
      <c r="K73" s="19"/>
      <c r="L73" s="19"/>
      <c r="M73" s="19"/>
      <c r="N73" s="19"/>
      <c r="O73" s="19"/>
      <c r="P73" s="19"/>
      <c r="Q73" s="19"/>
    </row>
    <row r="74" spans="1:17" x14ac:dyDescent="0.2">
      <c r="A74" s="19"/>
      <c r="B74" s="19"/>
      <c r="C74" s="19"/>
      <c r="D74" s="19"/>
      <c r="E74" s="19"/>
      <c r="F74" s="19"/>
      <c r="G74" s="19"/>
      <c r="H74" s="19"/>
      <c r="I74" s="19"/>
      <c r="J74" s="19"/>
      <c r="K74" s="19"/>
      <c r="L74" s="19"/>
      <c r="M74" s="19"/>
      <c r="N74" s="19"/>
      <c r="O74" s="19"/>
      <c r="P74" s="19"/>
      <c r="Q74" s="19"/>
    </row>
    <row r="75" spans="1:17" x14ac:dyDescent="0.2">
      <c r="A75" s="19"/>
      <c r="B75" s="19"/>
      <c r="C75" s="19"/>
      <c r="D75" s="19"/>
      <c r="E75" s="19"/>
      <c r="F75" s="19"/>
      <c r="G75" s="19"/>
      <c r="H75" s="19"/>
      <c r="I75" s="19"/>
      <c r="J75" s="19"/>
      <c r="K75" s="19"/>
      <c r="L75" s="19"/>
      <c r="M75" s="19"/>
      <c r="N75" s="19"/>
      <c r="O75" s="19"/>
      <c r="P75" s="19"/>
      <c r="Q75" s="19"/>
    </row>
    <row r="76" spans="1:17" x14ac:dyDescent="0.2">
      <c r="A76" s="19"/>
      <c r="B76" s="19"/>
      <c r="C76" s="19"/>
      <c r="D76" s="19"/>
      <c r="E76" s="19"/>
      <c r="F76" s="19"/>
      <c r="G76" s="19"/>
      <c r="H76" s="19"/>
      <c r="I76" s="19"/>
      <c r="J76" s="19"/>
      <c r="K76" s="19"/>
      <c r="L76" s="19"/>
      <c r="M76" s="19"/>
      <c r="N76" s="19"/>
      <c r="O76" s="19"/>
      <c r="P76" s="19"/>
      <c r="Q76" s="19"/>
    </row>
    <row r="77" spans="1:17" x14ac:dyDescent="0.2">
      <c r="A77" s="19"/>
      <c r="B77" s="19"/>
      <c r="C77" s="19"/>
      <c r="D77" s="19"/>
      <c r="E77" s="19"/>
      <c r="F77" s="19"/>
      <c r="G77" s="19"/>
      <c r="H77" s="19"/>
      <c r="I77" s="19"/>
      <c r="J77" s="19"/>
      <c r="K77" s="19"/>
      <c r="L77" s="19"/>
      <c r="M77" s="19"/>
      <c r="N77" s="19"/>
      <c r="O77" s="19"/>
      <c r="P77" s="19"/>
      <c r="Q77" s="19"/>
    </row>
    <row r="78" spans="1:17" x14ac:dyDescent="0.2">
      <c r="A78" s="19"/>
      <c r="B78" s="19"/>
      <c r="C78" s="19"/>
      <c r="D78" s="19"/>
      <c r="E78" s="19"/>
      <c r="F78" s="19"/>
      <c r="G78" s="19"/>
      <c r="H78" s="19"/>
      <c r="I78" s="19"/>
      <c r="J78" s="19"/>
      <c r="K78" s="19"/>
      <c r="L78" s="19"/>
      <c r="M78" s="19"/>
      <c r="N78" s="19"/>
      <c r="O78" s="19"/>
      <c r="P78" s="19"/>
      <c r="Q78" s="19"/>
    </row>
    <row r="79" spans="1:17" x14ac:dyDescent="0.2">
      <c r="A79" s="19"/>
      <c r="B79" s="19"/>
      <c r="C79" s="19"/>
      <c r="D79" s="19"/>
      <c r="E79" s="19"/>
      <c r="F79" s="19"/>
      <c r="G79" s="19"/>
      <c r="H79" s="19"/>
      <c r="I79" s="19"/>
      <c r="J79" s="19"/>
      <c r="K79" s="19"/>
      <c r="L79" s="19"/>
      <c r="M79" s="19"/>
      <c r="N79" s="19"/>
      <c r="O79" s="19"/>
      <c r="P79" s="19"/>
      <c r="Q79" s="19"/>
    </row>
    <row r="80" spans="1:17" x14ac:dyDescent="0.2">
      <c r="A80" s="19"/>
      <c r="B80" s="19"/>
      <c r="C80" s="19"/>
      <c r="D80" s="19"/>
      <c r="E80" s="19"/>
      <c r="F80" s="19"/>
      <c r="G80" s="19"/>
      <c r="H80" s="19"/>
      <c r="I80" s="19"/>
      <c r="J80" s="19"/>
      <c r="K80" s="19"/>
      <c r="L80" s="19"/>
      <c r="M80" s="19"/>
      <c r="N80" s="19"/>
      <c r="O80" s="19"/>
      <c r="P80" s="19"/>
      <c r="Q80" s="19"/>
    </row>
    <row r="81" spans="1:17" x14ac:dyDescent="0.2">
      <c r="A81" s="19"/>
      <c r="B81" s="19"/>
      <c r="C81" s="19"/>
      <c r="D81" s="19"/>
      <c r="E81" s="19"/>
      <c r="F81" s="19"/>
      <c r="G81" s="19"/>
      <c r="H81" s="19"/>
      <c r="I81" s="19"/>
      <c r="J81" s="19"/>
      <c r="K81" s="19"/>
      <c r="L81" s="19"/>
      <c r="M81" s="19"/>
      <c r="N81" s="19"/>
      <c r="O81" s="19"/>
      <c r="P81" s="19"/>
      <c r="Q81" s="19"/>
    </row>
    <row r="82" spans="1:17" x14ac:dyDescent="0.2">
      <c r="A82" s="19"/>
      <c r="B82" s="19"/>
      <c r="C82" s="19"/>
      <c r="D82" s="19"/>
      <c r="E82" s="19"/>
      <c r="F82" s="19"/>
      <c r="G82" s="19"/>
      <c r="H82" s="19"/>
      <c r="I82" s="19"/>
      <c r="J82" s="19"/>
      <c r="K82" s="19"/>
      <c r="L82" s="19"/>
      <c r="M82" s="19"/>
      <c r="N82" s="19"/>
      <c r="O82" s="19"/>
      <c r="P82" s="19"/>
      <c r="Q82" s="19"/>
    </row>
    <row r="83" spans="1:17" s="19" customFormat="1" x14ac:dyDescent="0.2"/>
    <row r="84" spans="1:17" s="19" customFormat="1" x14ac:dyDescent="0.2"/>
    <row r="85" spans="1:17" s="19" customFormat="1" x14ac:dyDescent="0.2"/>
    <row r="86" spans="1:17" s="19" customFormat="1" x14ac:dyDescent="0.2"/>
    <row r="87" spans="1:17" s="19" customFormat="1" x14ac:dyDescent="0.2"/>
    <row r="88" spans="1:17" s="19" customFormat="1" x14ac:dyDescent="0.2"/>
    <row r="89" spans="1:17" s="19" customFormat="1" x14ac:dyDescent="0.2"/>
    <row r="90" spans="1:17" s="19" customFormat="1" x14ac:dyDescent="0.2"/>
    <row r="91" spans="1:17" s="19" customFormat="1" x14ac:dyDescent="0.2"/>
    <row r="92" spans="1:17" s="19" customFormat="1" x14ac:dyDescent="0.2"/>
    <row r="93" spans="1:17" s="19" customFormat="1" x14ac:dyDescent="0.2"/>
    <row r="94" spans="1:17" s="19" customFormat="1" x14ac:dyDescent="0.2"/>
    <row r="95" spans="1:17" s="19" customFormat="1" x14ac:dyDescent="0.2"/>
    <row r="96" spans="1:17"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sheetData>
  <mergeCells count="1">
    <mergeCell ref="A51:Q55"/>
  </mergeCells>
  <phoneticPr fontId="4" type="noConversion"/>
  <pageMargins left="0.23622047244094491" right="0.19685039370078741" top="0.74803149606299213" bottom="0.74803149606299213" header="0.31496062992125984" footer="0.31496062992125984"/>
  <pageSetup paperSize="9" scale="61" orientation="landscape" r:id="rId1"/>
  <rowBreaks count="1" manualBreakCount="1">
    <brk id="56" max="16383" man="1"/>
  </rowBreaks>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B32:B34"/>
  <sheetViews>
    <sheetView workbookViewId="0">
      <selection activeCell="Q20" sqref="Q20"/>
    </sheetView>
  </sheetViews>
  <sheetFormatPr defaultRowHeight="15" x14ac:dyDescent="0.25"/>
  <sheetData>
    <row r="32" spans="2:2" x14ac:dyDescent="0.25">
      <c r="B32" t="s">
        <v>49</v>
      </c>
    </row>
    <row r="33" spans="2:2" x14ac:dyDescent="0.25">
      <c r="B33" t="s">
        <v>50</v>
      </c>
    </row>
    <row r="34" spans="2:2" x14ac:dyDescent="0.25">
      <c r="B34" t="s">
        <v>51</v>
      </c>
    </row>
  </sheetData>
  <phoneticPr fontId="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B31"/>
  <sheetViews>
    <sheetView workbookViewId="0">
      <selection activeCell="V17" sqref="V17"/>
    </sheetView>
  </sheetViews>
  <sheetFormatPr defaultRowHeight="15" x14ac:dyDescent="0.25"/>
  <sheetData>
    <row r="31" spans="2:2" x14ac:dyDescent="0.25">
      <c r="B31" t="s">
        <v>52</v>
      </c>
    </row>
  </sheetData>
  <phoneticPr fontId="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30:B33"/>
  <sheetViews>
    <sheetView workbookViewId="0">
      <selection activeCell="H32" sqref="H32"/>
    </sheetView>
  </sheetViews>
  <sheetFormatPr defaultRowHeight="15" x14ac:dyDescent="0.25"/>
  <sheetData>
    <row r="30" spans="2:2" x14ac:dyDescent="0.25">
      <c r="B30" t="s">
        <v>45</v>
      </c>
    </row>
    <row r="31" spans="2:2" x14ac:dyDescent="0.25">
      <c r="B31" t="s">
        <v>46</v>
      </c>
    </row>
    <row r="32" spans="2:2" x14ac:dyDescent="0.25">
      <c r="B32" t="s">
        <v>47</v>
      </c>
    </row>
    <row r="33" spans="2:2" x14ac:dyDescent="0.25">
      <c r="B33" t="s">
        <v>48</v>
      </c>
    </row>
  </sheetData>
  <phoneticPr fontId="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AE43"/>
  <sheetViews>
    <sheetView zoomScaleNormal="100" workbookViewId="0">
      <selection activeCell="H16" sqref="H16"/>
    </sheetView>
  </sheetViews>
  <sheetFormatPr defaultRowHeight="15" x14ac:dyDescent="0.25"/>
  <cols>
    <col min="1" max="1" width="32.140625" style="2" customWidth="1"/>
    <col min="2" max="2" width="13.85546875" style="2" customWidth="1"/>
    <col min="3" max="3" width="10.7109375" style="2" customWidth="1"/>
    <col min="4" max="5" width="8.5703125" style="2" bestFit="1" customWidth="1"/>
    <col min="6" max="26" width="9.5703125" style="2" bestFit="1" customWidth="1"/>
    <col min="27" max="27" width="10.140625" style="2" bestFit="1" customWidth="1"/>
    <col min="28" max="31" width="10" style="2" bestFit="1" customWidth="1"/>
    <col min="32" max="16384" width="9.140625" style="2"/>
  </cols>
  <sheetData>
    <row r="1" spans="1:31" x14ac:dyDescent="0.25">
      <c r="A1" s="2" t="s">
        <v>90</v>
      </c>
      <c r="B1" s="70">
        <v>12</v>
      </c>
      <c r="C1" s="2" t="s">
        <v>91</v>
      </c>
    </row>
    <row r="2" spans="1:31" ht="32.25" customHeight="1" x14ac:dyDescent="0.25">
      <c r="A2" s="2" t="s">
        <v>41</v>
      </c>
      <c r="B2" s="2">
        <f>+Solcelleøkonomi!D18/100</f>
        <v>0.02</v>
      </c>
    </row>
    <row r="3" spans="1:31" s="53" customFormat="1" ht="22.5" customHeight="1" thickBot="1" x14ac:dyDescent="0.3">
      <c r="B3" s="53">
        <v>1</v>
      </c>
      <c r="C3" s="53">
        <v>2</v>
      </c>
      <c r="D3" s="53">
        <v>3</v>
      </c>
      <c r="E3" s="53">
        <v>4</v>
      </c>
      <c r="F3" s="53">
        <v>5</v>
      </c>
      <c r="G3" s="53">
        <v>6</v>
      </c>
      <c r="H3" s="53">
        <v>7</v>
      </c>
      <c r="I3" s="53">
        <v>8</v>
      </c>
      <c r="J3" s="53">
        <v>9</v>
      </c>
      <c r="K3" s="53">
        <v>10</v>
      </c>
      <c r="L3" s="53">
        <v>11</v>
      </c>
      <c r="M3" s="53">
        <v>12</v>
      </c>
      <c r="N3" s="53">
        <v>13</v>
      </c>
      <c r="O3" s="53">
        <v>14</v>
      </c>
      <c r="P3" s="53">
        <v>15</v>
      </c>
      <c r="Q3" s="53">
        <v>16</v>
      </c>
      <c r="R3" s="53">
        <v>17</v>
      </c>
      <c r="S3" s="53">
        <v>18</v>
      </c>
      <c r="T3" s="53">
        <v>19</v>
      </c>
      <c r="U3" s="53">
        <v>20</v>
      </c>
      <c r="V3" s="53">
        <v>21</v>
      </c>
      <c r="W3" s="53">
        <v>22</v>
      </c>
      <c r="X3" s="53">
        <v>23</v>
      </c>
      <c r="Y3" s="53">
        <v>24</v>
      </c>
      <c r="Z3" s="53">
        <v>25</v>
      </c>
      <c r="AA3" s="53">
        <v>26</v>
      </c>
      <c r="AB3" s="53">
        <v>27</v>
      </c>
      <c r="AC3" s="53">
        <v>28</v>
      </c>
      <c r="AD3" s="53">
        <v>29</v>
      </c>
      <c r="AE3" s="53">
        <v>30</v>
      </c>
    </row>
    <row r="4" spans="1:31" ht="28.5" customHeight="1" thickBot="1" x14ac:dyDescent="0.3">
      <c r="A4" s="9"/>
      <c r="B4" s="10" t="s">
        <v>6</v>
      </c>
      <c r="C4" s="10" t="s">
        <v>7</v>
      </c>
      <c r="D4" s="10" t="s">
        <v>15</v>
      </c>
      <c r="E4" s="10" t="s">
        <v>16</v>
      </c>
      <c r="F4" s="10" t="s">
        <v>8</v>
      </c>
      <c r="G4" s="10" t="s">
        <v>17</v>
      </c>
      <c r="H4" s="10" t="s">
        <v>18</v>
      </c>
      <c r="I4" s="10" t="s">
        <v>19</v>
      </c>
      <c r="J4" s="10" t="s">
        <v>20</v>
      </c>
      <c r="K4" s="10" t="s">
        <v>9</v>
      </c>
      <c r="L4" s="10" t="s">
        <v>21</v>
      </c>
      <c r="M4" s="10" t="s">
        <v>22</v>
      </c>
      <c r="N4" s="10" t="s">
        <v>23</v>
      </c>
      <c r="O4" s="10" t="s">
        <v>24</v>
      </c>
      <c r="P4" s="10" t="s">
        <v>10</v>
      </c>
      <c r="Q4" s="10" t="s">
        <v>25</v>
      </c>
      <c r="R4" s="10" t="s">
        <v>26</v>
      </c>
      <c r="S4" s="10" t="s">
        <v>27</v>
      </c>
      <c r="T4" s="10" t="s">
        <v>28</v>
      </c>
      <c r="U4" s="10" t="s">
        <v>11</v>
      </c>
      <c r="V4" s="10" t="s">
        <v>12</v>
      </c>
      <c r="W4" s="10" t="s">
        <v>29</v>
      </c>
      <c r="X4" s="10" t="s">
        <v>30</v>
      </c>
      <c r="Y4" s="10" t="s">
        <v>31</v>
      </c>
      <c r="Z4" s="10" t="s">
        <v>32</v>
      </c>
      <c r="AA4" s="10" t="s">
        <v>63</v>
      </c>
      <c r="AB4" s="10" t="s">
        <v>64</v>
      </c>
      <c r="AC4" s="10" t="s">
        <v>65</v>
      </c>
      <c r="AD4" s="10" t="s">
        <v>66</v>
      </c>
      <c r="AE4" s="10" t="s">
        <v>68</v>
      </c>
    </row>
    <row r="5" spans="1:31" s="68" customFormat="1" ht="18" customHeight="1" x14ac:dyDescent="0.25">
      <c r="A5" s="66" t="s">
        <v>4</v>
      </c>
      <c r="B5" s="67">
        <f>B16*B18</f>
        <v>24000</v>
      </c>
      <c r="C5" s="67">
        <f t="shared" ref="C5:AE5" si="0">C16*C18</f>
        <v>23880</v>
      </c>
      <c r="D5" s="67">
        <f t="shared" si="0"/>
        <v>23760</v>
      </c>
      <c r="E5" s="67">
        <f t="shared" si="0"/>
        <v>23640</v>
      </c>
      <c r="F5" s="67">
        <f t="shared" si="0"/>
        <v>23520</v>
      </c>
      <c r="G5" s="67">
        <f t="shared" si="0"/>
        <v>23400</v>
      </c>
      <c r="H5" s="67">
        <f t="shared" si="0"/>
        <v>23280</v>
      </c>
      <c r="I5" s="67">
        <f t="shared" si="0"/>
        <v>23160</v>
      </c>
      <c r="J5" s="67">
        <f t="shared" si="0"/>
        <v>23040</v>
      </c>
      <c r="K5" s="67">
        <f t="shared" si="0"/>
        <v>22920</v>
      </c>
      <c r="L5" s="67">
        <f t="shared" si="0"/>
        <v>22800</v>
      </c>
      <c r="M5" s="67">
        <f t="shared" si="0"/>
        <v>22680</v>
      </c>
      <c r="N5" s="67">
        <f t="shared" si="0"/>
        <v>22560</v>
      </c>
      <c r="O5" s="67">
        <f t="shared" si="0"/>
        <v>22440</v>
      </c>
      <c r="P5" s="67">
        <f t="shared" si="0"/>
        <v>22320</v>
      </c>
      <c r="Q5" s="67">
        <f t="shared" si="0"/>
        <v>22200</v>
      </c>
      <c r="R5" s="67">
        <f t="shared" si="0"/>
        <v>22080</v>
      </c>
      <c r="S5" s="67">
        <f t="shared" si="0"/>
        <v>21960</v>
      </c>
      <c r="T5" s="67">
        <f t="shared" si="0"/>
        <v>21839.999999999996</v>
      </c>
      <c r="U5" s="67">
        <f t="shared" si="0"/>
        <v>21719.999999999996</v>
      </c>
      <c r="V5" s="67">
        <f t="shared" si="0"/>
        <v>21599.999999999996</v>
      </c>
      <c r="W5" s="67">
        <f t="shared" si="0"/>
        <v>21479.999999999996</v>
      </c>
      <c r="X5" s="67">
        <f t="shared" si="0"/>
        <v>21359.999999999996</v>
      </c>
      <c r="Y5" s="67">
        <f t="shared" si="0"/>
        <v>21239.999999999996</v>
      </c>
      <c r="Z5" s="67">
        <f t="shared" si="0"/>
        <v>21119.999999999996</v>
      </c>
      <c r="AA5" s="67">
        <f t="shared" si="0"/>
        <v>20999.999999999996</v>
      </c>
      <c r="AB5" s="67">
        <f t="shared" si="0"/>
        <v>20879.999999999996</v>
      </c>
      <c r="AC5" s="67">
        <f t="shared" si="0"/>
        <v>20759.999999999996</v>
      </c>
      <c r="AD5" s="67">
        <f t="shared" si="0"/>
        <v>20639.999999999996</v>
      </c>
      <c r="AE5" s="67">
        <f t="shared" si="0"/>
        <v>20519.999999999996</v>
      </c>
    </row>
    <row r="6" spans="1:31" s="13" customFormat="1" ht="23.25" customHeight="1" x14ac:dyDescent="0.25">
      <c r="A6" s="12" t="s">
        <v>5</v>
      </c>
      <c r="B6" s="11">
        <f>Anuitet!$G6</f>
        <v>5758.1199112087625</v>
      </c>
      <c r="C6" s="11">
        <f>Anuitet!$G7</f>
        <v>5790.2526600988722</v>
      </c>
      <c r="D6" s="11">
        <f>Anuitet!$G8</f>
        <v>5823.9920464334864</v>
      </c>
      <c r="E6" s="11">
        <f>Anuitet!$G9</f>
        <v>5859.4184020848325</v>
      </c>
      <c r="F6" s="11">
        <f>Anuitet!$G10</f>
        <v>5896.6160755187457</v>
      </c>
      <c r="G6" s="11">
        <f>Anuitet!$G11</f>
        <v>5935.6736326243545</v>
      </c>
      <c r="H6" s="11">
        <f>Anuitet!$G12</f>
        <v>5976.6840675852436</v>
      </c>
      <c r="I6" s="11">
        <f>Anuitet!$G13</f>
        <v>6019.7450242941768</v>
      </c>
      <c r="J6" s="11">
        <f>Anuitet!$G14</f>
        <v>6064.9590288385571</v>
      </c>
      <c r="K6" s="11">
        <f>Anuitet!$G15</f>
        <v>6112.4337336101562</v>
      </c>
      <c r="L6" s="11">
        <f>Anuitet!$G16</f>
        <v>6162.282173620335</v>
      </c>
      <c r="M6" s="11">
        <f>Anuitet!$G17</f>
        <v>6214.6230356310243</v>
      </c>
      <c r="N6" s="11">
        <f>Anuitet!$G18</f>
        <v>6269.5809407422466</v>
      </c>
      <c r="O6" s="11">
        <f>Anuitet!$G19</f>
        <v>6327.2867411090301</v>
      </c>
      <c r="P6" s="11">
        <f>Anuitet!$G20</f>
        <v>6387.8778314941528</v>
      </c>
      <c r="Q6" s="11">
        <f>Anuitet!$G21</f>
        <v>6451.4984763985321</v>
      </c>
      <c r="R6" s="11">
        <f>Anuitet!$G22</f>
        <v>6518.3001535481308</v>
      </c>
      <c r="S6" s="11">
        <f>Anuitet!$G23</f>
        <v>6588.4419145552083</v>
      </c>
      <c r="T6" s="11">
        <f>Anuitet!$G24</f>
        <v>6662.0907636126403</v>
      </c>
      <c r="U6" s="11">
        <f>Anuitet!$G25</f>
        <v>6739.4220551229437</v>
      </c>
      <c r="V6" s="11">
        <f>Anuitet!$G26</f>
        <v>-2.0463630789890883E-13</v>
      </c>
      <c r="W6" s="11">
        <f>Anuitet!$G27</f>
        <v>-2.1486812329385426E-13</v>
      </c>
      <c r="X6" s="11">
        <f>Anuitet!$G28</f>
        <v>-2.2561152945854698E-13</v>
      </c>
      <c r="Y6" s="11">
        <f>Anuitet!$G29</f>
        <v>-2.3689210593147429E-13</v>
      </c>
      <c r="Z6" s="11">
        <f>Anuitet!$G30</f>
        <v>-2.4873671122804798E-13</v>
      </c>
      <c r="AA6" s="11">
        <f>Anuitet!$G31</f>
        <v>-2.6117354678945044E-13</v>
      </c>
      <c r="AB6" s="11">
        <f>Anuitet!$G32</f>
        <v>-2.7423222412892288E-13</v>
      </c>
      <c r="AC6" s="11">
        <f>Anuitet!$G33</f>
        <v>-2.8794383533536919E-13</v>
      </c>
      <c r="AD6" s="11">
        <f>Anuitet!$G34</f>
        <v>-3.0234102710213755E-13</v>
      </c>
      <c r="AE6" s="11">
        <f>Anuitet!$G35</f>
        <v>-3.1745807845724443E-13</v>
      </c>
    </row>
    <row r="7" spans="1:31" s="13" customFormat="1" ht="23.25" customHeight="1" x14ac:dyDescent="0.25">
      <c r="A7" s="12" t="s">
        <v>89</v>
      </c>
      <c r="B7" s="11">
        <f>+Solcelleøkonomi!$D$12*Beregninger!$B$1/100/15</f>
        <v>680</v>
      </c>
      <c r="C7" s="11">
        <f>+Solcelleøkonomi!$D$12*Beregninger!$B$1/100/15</f>
        <v>680</v>
      </c>
      <c r="D7" s="11">
        <f>+Solcelleøkonomi!$D$12*Beregninger!$B$1/100/15</f>
        <v>680</v>
      </c>
      <c r="E7" s="11">
        <f>+Solcelleøkonomi!$D$12*Beregninger!$B$1/100/15</f>
        <v>680</v>
      </c>
      <c r="F7" s="11">
        <f>+Solcelleøkonomi!$D$12*Beregninger!$B$1/100/15</f>
        <v>680</v>
      </c>
      <c r="G7" s="11">
        <f>+Solcelleøkonomi!$D$12*Beregninger!$B$1/100/15</f>
        <v>680</v>
      </c>
      <c r="H7" s="11">
        <f>+Solcelleøkonomi!$D$12*Beregninger!$B$1/100/15</f>
        <v>680</v>
      </c>
      <c r="I7" s="11">
        <f>+Solcelleøkonomi!$D$12*Beregninger!$B$1/100/15</f>
        <v>680</v>
      </c>
      <c r="J7" s="11">
        <f>+Solcelleøkonomi!$D$12*Beregninger!$B$1/100/15</f>
        <v>680</v>
      </c>
      <c r="K7" s="11">
        <f>+Solcelleøkonomi!$D$12*Beregninger!$B$1/100/15</f>
        <v>680</v>
      </c>
      <c r="L7" s="11">
        <f>+Solcelleøkonomi!$D$12*Beregninger!$B$1/100/15</f>
        <v>680</v>
      </c>
      <c r="M7" s="11">
        <f>+Solcelleøkonomi!$D$12*Beregninger!$B$1/100/15</f>
        <v>680</v>
      </c>
      <c r="N7" s="11">
        <f>+Solcelleøkonomi!$D$12*Beregninger!$B$1/100/15</f>
        <v>680</v>
      </c>
      <c r="O7" s="11">
        <f>+Solcelleøkonomi!$D$12*Beregninger!$B$1/100/15</f>
        <v>680</v>
      </c>
      <c r="P7" s="11">
        <f>+Solcelleøkonomi!$D$12*Beregninger!$B$1/100/15</f>
        <v>680</v>
      </c>
      <c r="Q7" s="11"/>
      <c r="R7" s="11"/>
      <c r="S7" s="11"/>
      <c r="T7" s="11"/>
      <c r="U7" s="11"/>
      <c r="V7" s="11"/>
      <c r="W7" s="11"/>
      <c r="X7" s="11"/>
      <c r="Y7" s="11"/>
      <c r="Z7" s="11"/>
      <c r="AA7" s="11"/>
      <c r="AB7" s="11"/>
      <c r="AC7" s="11"/>
      <c r="AD7" s="11"/>
      <c r="AE7" s="11"/>
    </row>
    <row r="8" spans="1:31" s="26" customFormat="1" ht="24" customHeight="1" x14ac:dyDescent="0.25">
      <c r="A8" s="2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row>
    <row r="9" spans="1:31" ht="21" customHeight="1" thickBot="1" x14ac:dyDescent="0.3">
      <c r="A9" s="14" t="s">
        <v>13</v>
      </c>
      <c r="B9" s="15">
        <f>B23-(B6+B7+B24)</f>
        <v>17561.880088791237</v>
      </c>
      <c r="C9" s="15">
        <f t="shared" ref="C9:AE9" si="1">C23-(C6+C7+C24)</f>
        <v>16322.473214564721</v>
      </c>
      <c r="D9" s="15">
        <f t="shared" si="1"/>
        <v>15641.033320883762</v>
      </c>
      <c r="E9" s="15">
        <f t="shared" si="1"/>
        <v>14968.253526657565</v>
      </c>
      <c r="F9" s="15">
        <f t="shared" si="1"/>
        <v>14303.846599718901</v>
      </c>
      <c r="G9" s="15">
        <f t="shared" si="1"/>
        <v>13647.525068589021</v>
      </c>
      <c r="H9" s="15">
        <f t="shared" si="1"/>
        <v>12999.000933604348</v>
      </c>
      <c r="I9" s="15">
        <f t="shared" si="1"/>
        <v>12357.985369028946</v>
      </c>
      <c r="J9" s="15">
        <f t="shared" si="1"/>
        <v>11724.188415595878</v>
      </c>
      <c r="K9" s="15">
        <f t="shared" si="1"/>
        <v>11097.318662894191</v>
      </c>
      <c r="L9" s="15">
        <f t="shared" si="1"/>
        <v>10477.082920991774</v>
      </c>
      <c r="M9" s="15">
        <f t="shared" si="1"/>
        <v>9863.1858806553555</v>
      </c>
      <c r="N9" s="15">
        <f t="shared" si="1"/>
        <v>9255.3297614993025</v>
      </c>
      <c r="O9" s="15">
        <f t="shared" si="1"/>
        <v>8653.2139473630741</v>
      </c>
      <c r="P9" s="15">
        <f t="shared" si="1"/>
        <v>8056.5346081843891</v>
      </c>
      <c r="Q9" s="15">
        <f t="shared" si="1"/>
        <v>8144.9843076000343</v>
      </c>
      <c r="R9" s="15">
        <f t="shared" si="1"/>
        <v>7558.2515954700684</v>
      </c>
      <c r="S9" s="15">
        <f t="shared" si="1"/>
        <v>6976.0205844822449</v>
      </c>
      <c r="T9" s="15">
        <f t="shared" si="1"/>
        <v>6397.9705099534876</v>
      </c>
      <c r="U9" s="15">
        <f t="shared" si="1"/>
        <v>5823.7752719026685</v>
      </c>
      <c r="V9" s="15">
        <f t="shared" si="1"/>
        <v>12073.722869632955</v>
      </c>
      <c r="W9" s="15">
        <f t="shared" si="1"/>
        <v>11591.493009444072</v>
      </c>
      <c r="X9" s="15">
        <f t="shared" si="1"/>
        <v>11116.365695533408</v>
      </c>
      <c r="Y9" s="15">
        <f t="shared" si="1"/>
        <v>10648.201662287654</v>
      </c>
      <c r="Z9" s="15">
        <f t="shared" si="1"/>
        <v>10186.864374791818</v>
      </c>
      <c r="AA9" s="15">
        <f t="shared" si="1"/>
        <v>9732.2199752860943</v>
      </c>
      <c r="AB9" s="15">
        <f t="shared" si="1"/>
        <v>9284.1372306726444</v>
      </c>
      <c r="AC9" s="15">
        <f t="shared" si="1"/>
        <v>8842.4874810516085</v>
      </c>
      <c r="AD9" s="15">
        <f t="shared" si="1"/>
        <v>8407.144589266285</v>
      </c>
      <c r="AE9" s="15">
        <f t="shared" si="1"/>
        <v>7977.9848914375325</v>
      </c>
    </row>
    <row r="10" spans="1:31" ht="21.75" customHeight="1" x14ac:dyDescent="0.25">
      <c r="A10" s="16" t="s">
        <v>14</v>
      </c>
      <c r="B10" s="2">
        <f>B9</f>
        <v>17561.880088791237</v>
      </c>
      <c r="C10" s="13">
        <f>B10+C9</f>
        <v>33884.353303355958</v>
      </c>
      <c r="D10" s="13">
        <f t="shared" ref="D10:Z10" si="2">C10+D9</f>
        <v>49525.38662423972</v>
      </c>
      <c r="E10" s="13">
        <f t="shared" si="2"/>
        <v>64493.640150897285</v>
      </c>
      <c r="F10" s="13">
        <f t="shared" si="2"/>
        <v>78797.486750616183</v>
      </c>
      <c r="G10" s="13">
        <f t="shared" si="2"/>
        <v>92445.011819205203</v>
      </c>
      <c r="H10" s="13">
        <f t="shared" si="2"/>
        <v>105444.01275280955</v>
      </c>
      <c r="I10" s="13">
        <f t="shared" si="2"/>
        <v>117801.99812183849</v>
      </c>
      <c r="J10" s="13">
        <f t="shared" si="2"/>
        <v>129526.18653743438</v>
      </c>
      <c r="K10" s="13">
        <f t="shared" si="2"/>
        <v>140623.50520032857</v>
      </c>
      <c r="L10" s="13">
        <f t="shared" si="2"/>
        <v>151100.58812132035</v>
      </c>
      <c r="M10" s="13">
        <f t="shared" si="2"/>
        <v>160963.77400197572</v>
      </c>
      <c r="N10" s="13">
        <f t="shared" si="2"/>
        <v>170219.10376347502</v>
      </c>
      <c r="O10" s="13">
        <f t="shared" si="2"/>
        <v>178872.31771083811</v>
      </c>
      <c r="P10" s="13">
        <f t="shared" si="2"/>
        <v>186928.8523190225</v>
      </c>
      <c r="Q10" s="13">
        <f t="shared" si="2"/>
        <v>195073.83662662253</v>
      </c>
      <c r="R10" s="13">
        <f t="shared" si="2"/>
        <v>202632.0882220926</v>
      </c>
      <c r="S10" s="13">
        <f t="shared" si="2"/>
        <v>209608.10880657483</v>
      </c>
      <c r="T10" s="13">
        <f t="shared" si="2"/>
        <v>216006.07931652831</v>
      </c>
      <c r="U10" s="13">
        <f t="shared" si="2"/>
        <v>221829.85458843099</v>
      </c>
      <c r="V10" s="13">
        <f t="shared" si="2"/>
        <v>233903.57745806396</v>
      </c>
      <c r="W10" s="13">
        <f t="shared" si="2"/>
        <v>245495.07046750802</v>
      </c>
      <c r="X10" s="13">
        <f t="shared" si="2"/>
        <v>256611.43616304142</v>
      </c>
      <c r="Y10" s="13">
        <f t="shared" si="2"/>
        <v>267259.63782532909</v>
      </c>
      <c r="Z10" s="13">
        <f t="shared" si="2"/>
        <v>277446.50220012089</v>
      </c>
      <c r="AA10" s="13">
        <f>Z10+AA9</f>
        <v>287178.72217540699</v>
      </c>
      <c r="AB10" s="13">
        <f>AA10+AB9</f>
        <v>296462.85940607963</v>
      </c>
      <c r="AC10" s="13">
        <f>AB10+AC9</f>
        <v>305305.34688713122</v>
      </c>
      <c r="AD10" s="13">
        <f>AC10+AD9</f>
        <v>313712.4914763975</v>
      </c>
      <c r="AE10" s="13">
        <f>AD10+AE9</f>
        <v>321690.47636783501</v>
      </c>
    </row>
    <row r="11" spans="1:31" ht="21" customHeight="1" x14ac:dyDescent="0.25">
      <c r="A11" s="16" t="s">
        <v>44</v>
      </c>
      <c r="B11" s="2">
        <f>B10/B12</f>
        <v>17561.880088791237</v>
      </c>
      <c r="C11" s="2">
        <f>(C9/C12)+B11</f>
        <v>33250.531775224073</v>
      </c>
      <c r="D11" s="2">
        <f>(D9/D12)+C11</f>
        <v>47989.426808887372</v>
      </c>
      <c r="E11" s="2">
        <f t="shared" ref="E11:AE11" si="3">(E9/E12)+D11</f>
        <v>61817.779365095208</v>
      </c>
      <c r="F11" s="2">
        <f t="shared" si="3"/>
        <v>74773.213929541496</v>
      </c>
      <c r="G11" s="2">
        <f t="shared" si="3"/>
        <v>86891.825628117193</v>
      </c>
      <c r="H11" s="2">
        <f t="shared" si="3"/>
        <v>98208.238202678229</v>
      </c>
      <c r="I11" s="2">
        <f t="shared" si="3"/>
        <v>108755.65972245271</v>
      </c>
      <c r="J11" s="2">
        <f t="shared" si="3"/>
        <v>118565.93611728578</v>
      </c>
      <c r="K11" s="2">
        <f t="shared" si="3"/>
        <v>127669.60261556385</v>
      </c>
      <c r="L11" s="2">
        <f t="shared" si="3"/>
        <v>136095.9331664331</v>
      </c>
      <c r="M11" s="2">
        <f t="shared" si="3"/>
        <v>143872.9879228232</v>
      </c>
      <c r="N11" s="2">
        <f t="shared" si="3"/>
        <v>151027.6588588036</v>
      </c>
      <c r="O11" s="2">
        <f t="shared" si="3"/>
        <v>157585.71359192912</v>
      </c>
      <c r="P11" s="2">
        <f t="shared" si="3"/>
        <v>163571.83747847241</v>
      </c>
      <c r="Q11" s="2">
        <f t="shared" si="3"/>
        <v>169505.01720011179</v>
      </c>
      <c r="R11" s="2">
        <f t="shared" si="3"/>
        <v>174902.8375272874</v>
      </c>
      <c r="S11" s="2">
        <f t="shared" si="3"/>
        <v>179787.16373946582</v>
      </c>
      <c r="T11" s="2">
        <f t="shared" si="3"/>
        <v>184178.92749760064</v>
      </c>
      <c r="U11" s="2">
        <f t="shared" si="3"/>
        <v>188098.16130605471</v>
      </c>
      <c r="V11" s="2">
        <f t="shared" si="3"/>
        <v>196064.11167385289</v>
      </c>
      <c r="W11" s="2">
        <f t="shared" si="3"/>
        <v>203561.94183848027</v>
      </c>
      <c r="X11" s="2">
        <f t="shared" si="3"/>
        <v>210611.45092759363</v>
      </c>
      <c r="Y11" s="2">
        <f t="shared" si="3"/>
        <v>217231.66670894399</v>
      </c>
      <c r="Z11" s="2">
        <f t="shared" si="3"/>
        <v>223440.87501926435</v>
      </c>
      <c r="AA11" s="2">
        <f t="shared" si="3"/>
        <v>229256.64807192006</v>
      </c>
      <c r="AB11" s="2">
        <f t="shared" si="3"/>
        <v>234695.87168621831</v>
      </c>
      <c r="AC11" s="2">
        <f t="shared" si="3"/>
        <v>239774.77147962432</v>
      </c>
      <c r="AD11" s="2">
        <f t="shared" si="3"/>
        <v>244508.9380625468</v>
      </c>
      <c r="AE11" s="2">
        <f t="shared" si="3"/>
        <v>248913.35127383104</v>
      </c>
    </row>
    <row r="12" spans="1:31" s="27" customFormat="1" ht="23.25" customHeight="1" x14ac:dyDescent="0.25">
      <c r="A12" s="28" t="s">
        <v>42</v>
      </c>
      <c r="B12" s="69">
        <f>1</f>
        <v>1</v>
      </c>
      <c r="C12" s="29">
        <f>(1+$B$2)^C3</f>
        <v>1.0404</v>
      </c>
      <c r="D12" s="29">
        <f t="shared" ref="D12:Z12" si="4">(1+$B$2)^D3</f>
        <v>1.0612079999999999</v>
      </c>
      <c r="E12" s="29">
        <f t="shared" si="4"/>
        <v>1.08243216</v>
      </c>
      <c r="F12" s="29">
        <f t="shared" si="4"/>
        <v>1.1040808032</v>
      </c>
      <c r="G12" s="29">
        <f t="shared" si="4"/>
        <v>1.1261624192640001</v>
      </c>
      <c r="H12" s="29">
        <f t="shared" si="4"/>
        <v>1.1486856676492798</v>
      </c>
      <c r="I12" s="29">
        <f t="shared" si="4"/>
        <v>1.1716593810022655</v>
      </c>
      <c r="J12" s="29">
        <f t="shared" si="4"/>
        <v>1.1950925686223108</v>
      </c>
      <c r="K12" s="29">
        <f t="shared" si="4"/>
        <v>1.2189944199947571</v>
      </c>
      <c r="L12" s="29">
        <f t="shared" si="4"/>
        <v>1.243374308394652</v>
      </c>
      <c r="M12" s="29">
        <f t="shared" si="4"/>
        <v>1.2682417945625453</v>
      </c>
      <c r="N12" s="29">
        <f t="shared" si="4"/>
        <v>1.2936066304537961</v>
      </c>
      <c r="O12" s="29">
        <f t="shared" si="4"/>
        <v>1.3194787630628722</v>
      </c>
      <c r="P12" s="29">
        <f t="shared" si="4"/>
        <v>1.3458683383241292</v>
      </c>
      <c r="Q12" s="29">
        <f t="shared" si="4"/>
        <v>1.372785705090612</v>
      </c>
      <c r="R12" s="29">
        <f t="shared" si="4"/>
        <v>1.4002414191924244</v>
      </c>
      <c r="S12" s="29">
        <f t="shared" si="4"/>
        <v>1.4282462475762727</v>
      </c>
      <c r="T12" s="29">
        <f t="shared" si="4"/>
        <v>1.4568111725277981</v>
      </c>
      <c r="U12" s="29">
        <f t="shared" si="4"/>
        <v>1.4859473959783542</v>
      </c>
      <c r="V12" s="29">
        <f t="shared" si="4"/>
        <v>1.5156663438979212</v>
      </c>
      <c r="W12" s="29">
        <f t="shared" si="4"/>
        <v>1.5459796707758797</v>
      </c>
      <c r="X12" s="29">
        <f t="shared" si="4"/>
        <v>1.576899264191397</v>
      </c>
      <c r="Y12" s="29">
        <f t="shared" si="4"/>
        <v>1.608437249475225</v>
      </c>
      <c r="Z12" s="29">
        <f t="shared" si="4"/>
        <v>1.6406059944647295</v>
      </c>
      <c r="AA12" s="29">
        <f>(1+$B$2)^AA3</f>
        <v>1.6734181143540243</v>
      </c>
      <c r="AB12" s="29">
        <f>(1+$B$2)^AB3</f>
        <v>1.7068864766411045</v>
      </c>
      <c r="AC12" s="29">
        <f>(1+$B$2)^AC3</f>
        <v>1.7410242061739269</v>
      </c>
      <c r="AD12" s="29">
        <f>(1+$B$2)^AD3</f>
        <v>1.7758446902974052</v>
      </c>
      <c r="AE12" s="29">
        <f>(1+$B$2)^AE3</f>
        <v>1.8113615841033535</v>
      </c>
    </row>
    <row r="13" spans="1:31" ht="24" customHeight="1" x14ac:dyDescent="0.25">
      <c r="A13" s="16"/>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31" ht="43.5" customHeight="1" x14ac:dyDescent="0.25">
      <c r="A14" s="16"/>
      <c r="C14" s="13" t="s">
        <v>120</v>
      </c>
      <c r="D14" s="13"/>
      <c r="E14" s="13"/>
      <c r="F14" s="13"/>
      <c r="G14" s="13"/>
      <c r="H14" s="13"/>
      <c r="I14" s="13"/>
      <c r="J14" s="13"/>
      <c r="K14" s="13"/>
      <c r="L14" s="13"/>
      <c r="M14" s="13"/>
      <c r="N14" s="13"/>
      <c r="O14" s="13"/>
      <c r="P14" s="13"/>
      <c r="Q14" s="13"/>
      <c r="R14" s="13"/>
      <c r="S14" s="13"/>
      <c r="T14" s="13"/>
      <c r="U14" s="13"/>
      <c r="V14" s="13"/>
      <c r="W14" s="13"/>
      <c r="X14" s="13"/>
      <c r="Y14" s="13"/>
      <c r="Z14" s="13"/>
    </row>
    <row r="15" spans="1:31" s="27" customFormat="1" ht="13.5" customHeight="1" x14ac:dyDescent="0.25">
      <c r="A15" s="28" t="s">
        <v>104</v>
      </c>
      <c r="B15" s="69">
        <v>1</v>
      </c>
      <c r="C15" s="27">
        <f>+B15-0.005</f>
        <v>0.995</v>
      </c>
      <c r="D15" s="27">
        <f t="shared" ref="D15:AE15" si="5">+C15-0.005</f>
        <v>0.99</v>
      </c>
      <c r="E15" s="27">
        <f t="shared" si="5"/>
        <v>0.98499999999999999</v>
      </c>
      <c r="F15" s="27">
        <f t="shared" si="5"/>
        <v>0.98</v>
      </c>
      <c r="G15" s="27">
        <f t="shared" si="5"/>
        <v>0.97499999999999998</v>
      </c>
      <c r="H15" s="27">
        <f t="shared" si="5"/>
        <v>0.97</v>
      </c>
      <c r="I15" s="27">
        <f t="shared" si="5"/>
        <v>0.96499999999999997</v>
      </c>
      <c r="J15" s="27">
        <f t="shared" si="5"/>
        <v>0.96</v>
      </c>
      <c r="K15" s="27">
        <f t="shared" si="5"/>
        <v>0.95499999999999996</v>
      </c>
      <c r="L15" s="27">
        <f t="shared" si="5"/>
        <v>0.95</v>
      </c>
      <c r="M15" s="27">
        <f t="shared" si="5"/>
        <v>0.94499999999999995</v>
      </c>
      <c r="N15" s="27">
        <f t="shared" si="5"/>
        <v>0.94</v>
      </c>
      <c r="O15" s="27">
        <f t="shared" si="5"/>
        <v>0.93499999999999994</v>
      </c>
      <c r="P15" s="27">
        <f t="shared" si="5"/>
        <v>0.92999999999999994</v>
      </c>
      <c r="Q15" s="27">
        <f t="shared" si="5"/>
        <v>0.92499999999999993</v>
      </c>
      <c r="R15" s="27">
        <f t="shared" si="5"/>
        <v>0.91999999999999993</v>
      </c>
      <c r="S15" s="27">
        <f t="shared" si="5"/>
        <v>0.91499999999999992</v>
      </c>
      <c r="T15" s="27">
        <f t="shared" si="5"/>
        <v>0.90999999999999992</v>
      </c>
      <c r="U15" s="27">
        <f t="shared" si="5"/>
        <v>0.90499999999999992</v>
      </c>
      <c r="V15" s="27">
        <f t="shared" si="5"/>
        <v>0.89999999999999991</v>
      </c>
      <c r="W15" s="27">
        <f t="shared" si="5"/>
        <v>0.89499999999999991</v>
      </c>
      <c r="X15" s="27">
        <f t="shared" si="5"/>
        <v>0.8899999999999999</v>
      </c>
      <c r="Y15" s="27">
        <f t="shared" si="5"/>
        <v>0.8849999999999999</v>
      </c>
      <c r="Z15" s="27">
        <f t="shared" si="5"/>
        <v>0.87999999999999989</v>
      </c>
      <c r="AA15" s="27">
        <f t="shared" si="5"/>
        <v>0.87499999999999989</v>
      </c>
      <c r="AB15" s="27">
        <f t="shared" si="5"/>
        <v>0.86999999999999988</v>
      </c>
      <c r="AC15" s="27">
        <f t="shared" si="5"/>
        <v>0.86499999999999988</v>
      </c>
      <c r="AD15" s="27">
        <f t="shared" si="5"/>
        <v>0.85999999999999988</v>
      </c>
      <c r="AE15" s="27">
        <f t="shared" si="5"/>
        <v>0.85499999999999987</v>
      </c>
    </row>
    <row r="16" spans="1:31" ht="16.5" customHeight="1" x14ac:dyDescent="0.25">
      <c r="A16" s="2" t="s">
        <v>33</v>
      </c>
      <c r="B16" s="46">
        <f>Solcelleøkonomi!$D$11</f>
        <v>6000</v>
      </c>
      <c r="C16" s="46">
        <f>$B$16*C15</f>
        <v>5970</v>
      </c>
      <c r="D16" s="46">
        <f t="shared" ref="D16:Z16" si="6">$B$16*D15</f>
        <v>5940</v>
      </c>
      <c r="E16" s="46">
        <f t="shared" si="6"/>
        <v>5910</v>
      </c>
      <c r="F16" s="46">
        <f t="shared" si="6"/>
        <v>5880</v>
      </c>
      <c r="G16" s="46">
        <f t="shared" si="6"/>
        <v>5850</v>
      </c>
      <c r="H16" s="46">
        <f t="shared" si="6"/>
        <v>5820</v>
      </c>
      <c r="I16" s="46">
        <f t="shared" si="6"/>
        <v>5790</v>
      </c>
      <c r="J16" s="46">
        <f t="shared" si="6"/>
        <v>5760</v>
      </c>
      <c r="K16" s="46">
        <f t="shared" si="6"/>
        <v>5730</v>
      </c>
      <c r="L16" s="46">
        <f t="shared" si="6"/>
        <v>5700</v>
      </c>
      <c r="M16" s="46">
        <f t="shared" si="6"/>
        <v>5670</v>
      </c>
      <c r="N16" s="46">
        <f t="shared" si="6"/>
        <v>5640</v>
      </c>
      <c r="O16" s="46">
        <f t="shared" si="6"/>
        <v>5610</v>
      </c>
      <c r="P16" s="46">
        <f t="shared" si="6"/>
        <v>5580</v>
      </c>
      <c r="Q16" s="46">
        <f t="shared" si="6"/>
        <v>5550</v>
      </c>
      <c r="R16" s="46">
        <f t="shared" si="6"/>
        <v>5520</v>
      </c>
      <c r="S16" s="46">
        <f t="shared" si="6"/>
        <v>5490</v>
      </c>
      <c r="T16" s="46">
        <f t="shared" si="6"/>
        <v>5459.9999999999991</v>
      </c>
      <c r="U16" s="46">
        <f t="shared" si="6"/>
        <v>5429.9999999999991</v>
      </c>
      <c r="V16" s="46">
        <f t="shared" si="6"/>
        <v>5399.9999999999991</v>
      </c>
      <c r="W16" s="46">
        <f t="shared" si="6"/>
        <v>5369.9999999999991</v>
      </c>
      <c r="X16" s="46">
        <f t="shared" si="6"/>
        <v>5339.9999999999991</v>
      </c>
      <c r="Y16" s="46">
        <f t="shared" si="6"/>
        <v>5309.9999999999991</v>
      </c>
      <c r="Z16" s="46">
        <f t="shared" si="6"/>
        <v>5279.9999999999991</v>
      </c>
      <c r="AA16" s="46">
        <f>$B$16*AA15</f>
        <v>5249.9999999999991</v>
      </c>
      <c r="AB16" s="46">
        <f>$B$16*AB15</f>
        <v>5219.9999999999991</v>
      </c>
      <c r="AC16" s="46">
        <f>$B$16*AC15</f>
        <v>5189.9999999999991</v>
      </c>
      <c r="AD16" s="46">
        <f>$B$16*AD15</f>
        <v>5159.9999999999991</v>
      </c>
      <c r="AE16" s="46">
        <f>$B$16*AE15</f>
        <v>5129.9999999999991</v>
      </c>
    </row>
    <row r="17" spans="1:31" ht="15.75" customHeight="1" x14ac:dyDescent="0.25">
      <c r="A17" s="2" t="s">
        <v>35</v>
      </c>
      <c r="B17" s="2">
        <f>(B6+B7)/B16</f>
        <v>1.0730199852014604</v>
      </c>
      <c r="C17" s="2">
        <f t="shared" ref="C17:AD17" si="7">(C6+C7)/C16</f>
        <v>1.0837944154269468</v>
      </c>
      <c r="D17" s="2">
        <f t="shared" si="7"/>
        <v>1.0949481559652334</v>
      </c>
      <c r="E17" s="2">
        <f t="shared" si="7"/>
        <v>1.1065005756488717</v>
      </c>
      <c r="F17" s="2">
        <f t="shared" si="7"/>
        <v>1.1184721216868616</v>
      </c>
      <c r="G17" s="2">
        <f t="shared" si="7"/>
        <v>1.1308843816451888</v>
      </c>
      <c r="H17" s="2">
        <f t="shared" si="7"/>
        <v>1.1437601490696294</v>
      </c>
      <c r="I17" s="2">
        <f t="shared" si="7"/>
        <v>1.1571234929696332</v>
      </c>
      <c r="J17" s="2">
        <f t="shared" si="7"/>
        <v>1.1709998313955827</v>
      </c>
      <c r="K17" s="2">
        <f t="shared" si="7"/>
        <v>1.1854160093560482</v>
      </c>
      <c r="L17" s="2">
        <f t="shared" si="7"/>
        <v>1.2004003813369009</v>
      </c>
      <c r="M17" s="2">
        <f t="shared" si="7"/>
        <v>1.2159828987003569</v>
      </c>
      <c r="N17" s="2">
        <f t="shared" si="7"/>
        <v>1.2321952022592635</v>
      </c>
      <c r="O17" s="2">
        <f t="shared" si="7"/>
        <v>1.2490707203402907</v>
      </c>
      <c r="P17" s="2">
        <f t="shared" si="7"/>
        <v>1.2666447726692029</v>
      </c>
      <c r="Q17" s="2">
        <f t="shared" si="7"/>
        <v>1.1624321579096455</v>
      </c>
      <c r="R17" s="2">
        <f t="shared" si="7"/>
        <v>1.1808514770920526</v>
      </c>
      <c r="S17" s="2">
        <f t="shared" si="7"/>
        <v>1.2000804944545007</v>
      </c>
      <c r="T17" s="2">
        <f t="shared" si="7"/>
        <v>1.2201631435187987</v>
      </c>
      <c r="U17" s="2">
        <f t="shared" si="7"/>
        <v>1.2411458665051465</v>
      </c>
      <c r="V17" s="2">
        <f t="shared" si="7"/>
        <v>-3.7895612573872015E-17</v>
      </c>
      <c r="W17" s="2">
        <f t="shared" si="7"/>
        <v>-4.0012685902021282E-17</v>
      </c>
      <c r="X17" s="2">
        <f t="shared" si="7"/>
        <v>-4.224935008587023E-17</v>
      </c>
      <c r="Y17" s="2">
        <f t="shared" si="7"/>
        <v>-4.4612449327961268E-17</v>
      </c>
      <c r="Z17" s="2">
        <f t="shared" si="7"/>
        <v>-4.710922561137273E-17</v>
      </c>
      <c r="AA17" s="2">
        <f t="shared" si="7"/>
        <v>-4.9747342245609613E-17</v>
      </c>
      <c r="AB17" s="2">
        <f t="shared" si="7"/>
        <v>-5.2534908836958416E-17</v>
      </c>
      <c r="AC17" s="2">
        <f t="shared" si="7"/>
        <v>-5.5480507771747444E-17</v>
      </c>
      <c r="AD17" s="2">
        <f t="shared" si="7"/>
        <v>-5.8593222306615808E-17</v>
      </c>
      <c r="AE17" s="2">
        <f>(AE6+AE7)/AE16</f>
        <v>-6.1882666365934593E-17</v>
      </c>
    </row>
    <row r="18" spans="1:31" ht="15" customHeight="1" x14ac:dyDescent="0.25">
      <c r="A18" s="2" t="s">
        <v>34</v>
      </c>
      <c r="B18" s="1">
        <f>Solcelleøkonomi!$D$7</f>
        <v>4</v>
      </c>
      <c r="C18" s="2">
        <f>B18*(1+Solcelleøkonomi!$D$9/100)</f>
        <v>4</v>
      </c>
      <c r="D18" s="2">
        <f>C18*(1+Solcelleøkonomi!$D$9/100)</f>
        <v>4</v>
      </c>
      <c r="E18" s="2">
        <f>D18*(1+Solcelleøkonomi!$D$9/100)</f>
        <v>4</v>
      </c>
      <c r="F18" s="2">
        <f>E18*(1+Solcelleøkonomi!$D$9/100)</f>
        <v>4</v>
      </c>
      <c r="G18" s="2">
        <f>F18*(1+Solcelleøkonomi!$D$9/100)</f>
        <v>4</v>
      </c>
      <c r="H18" s="2">
        <f>G18*(1+Solcelleøkonomi!$D$9/100)</f>
        <v>4</v>
      </c>
      <c r="I18" s="2">
        <f>H18*(1+Solcelleøkonomi!$D$9/100)</f>
        <v>4</v>
      </c>
      <c r="J18" s="2">
        <f>I18*(1+Solcelleøkonomi!$D$9/100)</f>
        <v>4</v>
      </c>
      <c r="K18" s="2">
        <f>J18*(1+Solcelleøkonomi!$D$9/100)</f>
        <v>4</v>
      </c>
      <c r="L18" s="2">
        <f>K18*(1+Solcelleøkonomi!$D$9/100)</f>
        <v>4</v>
      </c>
      <c r="M18" s="2">
        <f>L18*(1+Solcelleøkonomi!$D$9/100)</f>
        <v>4</v>
      </c>
      <c r="N18" s="2">
        <f>M18*(1+Solcelleøkonomi!$D$9/100)</f>
        <v>4</v>
      </c>
      <c r="O18" s="2">
        <f>N18*(1+Solcelleøkonomi!$D$9/100)</f>
        <v>4</v>
      </c>
      <c r="P18" s="2">
        <f>O18*(1+Solcelleøkonomi!$D$9/100)</f>
        <v>4</v>
      </c>
      <c r="Q18" s="2">
        <f>P18*(1+Solcelleøkonomi!$D$9/100)</f>
        <v>4</v>
      </c>
      <c r="R18" s="2">
        <f>Q18*(1+Solcelleøkonomi!$D$9/100)</f>
        <v>4</v>
      </c>
      <c r="S18" s="2">
        <f>R18*(1+Solcelleøkonomi!$D$9/100)</f>
        <v>4</v>
      </c>
      <c r="T18" s="2">
        <f>S18*(1+Solcelleøkonomi!$D$9/100)</f>
        <v>4</v>
      </c>
      <c r="U18" s="2">
        <f>T18*(1+Solcelleøkonomi!$D$9/100)</f>
        <v>4</v>
      </c>
      <c r="V18" s="2">
        <f>U18*(1+Solcelleøkonomi!$D$9/100)</f>
        <v>4</v>
      </c>
      <c r="W18" s="2">
        <f>V18*(1+Solcelleøkonomi!$D$9/100)</f>
        <v>4</v>
      </c>
      <c r="X18" s="2">
        <f>W18*(1+Solcelleøkonomi!$D$9/100)</f>
        <v>4</v>
      </c>
      <c r="Y18" s="2">
        <f>X18*(1+Solcelleøkonomi!$D$9/100)</f>
        <v>4</v>
      </c>
      <c r="Z18" s="2">
        <f>Y18*(1+Solcelleøkonomi!$D$9/100)</f>
        <v>4</v>
      </c>
      <c r="AA18" s="2">
        <f>Z18*(1+Solcelleøkonomi!$D$9/100)</f>
        <v>4</v>
      </c>
      <c r="AB18" s="2">
        <f>AA18*(1+Solcelleøkonomi!$D$9/100)</f>
        <v>4</v>
      </c>
      <c r="AC18" s="2">
        <f>AB18*(1+Solcelleøkonomi!$D$9/100)</f>
        <v>4</v>
      </c>
      <c r="AD18" s="2">
        <f>AC18*(1+Solcelleøkonomi!$D$9/100)</f>
        <v>4</v>
      </c>
      <c r="AE18" s="2">
        <f>AD18*(1+Solcelleøkonomi!$D$9/100)</f>
        <v>4</v>
      </c>
    </row>
    <row r="19" spans="1:31" ht="16.5" customHeight="1" x14ac:dyDescent="0.25">
      <c r="A19" s="2" t="s">
        <v>109</v>
      </c>
      <c r="B19" s="70">
        <v>0.6</v>
      </c>
      <c r="C19" s="2">
        <f>B19*(1+Solcelleøkonomi!$D$9/100)</f>
        <v>0.6</v>
      </c>
      <c r="D19" s="2">
        <f>C19*(1+Solcelleøkonomi!$D$9/100)</f>
        <v>0.6</v>
      </c>
      <c r="E19" s="2">
        <f>D19*(1+Solcelleøkonomi!$D$9/100)</f>
        <v>0.6</v>
      </c>
      <c r="F19" s="2">
        <f>E19*(1+Solcelleøkonomi!$D$9/100)</f>
        <v>0.6</v>
      </c>
      <c r="G19" s="2">
        <f>F19*(1+Solcelleøkonomi!$D$9/100)</f>
        <v>0.6</v>
      </c>
      <c r="H19" s="2">
        <f>G19*(1+Solcelleøkonomi!$D$9/100)</f>
        <v>0.6</v>
      </c>
      <c r="I19" s="2">
        <f>H19*(1+Solcelleøkonomi!$D$9/100)</f>
        <v>0.6</v>
      </c>
      <c r="J19" s="2">
        <f>I19*(1+Solcelleøkonomi!$D$9/100)</f>
        <v>0.6</v>
      </c>
      <c r="K19" s="2">
        <f>J19*(1+Solcelleøkonomi!$D$9/100)</f>
        <v>0.6</v>
      </c>
      <c r="L19" s="2">
        <f>K19*(1+Solcelleøkonomi!$D$9/100)</f>
        <v>0.6</v>
      </c>
      <c r="M19" s="2">
        <f>L19*(1+Solcelleøkonomi!$D$9/100)</f>
        <v>0.6</v>
      </c>
      <c r="N19" s="2">
        <f>M19*(1+Solcelleøkonomi!$D$9/100)</f>
        <v>0.6</v>
      </c>
      <c r="O19" s="2">
        <f>N19*(1+Solcelleøkonomi!$D$9/100)</f>
        <v>0.6</v>
      </c>
      <c r="P19" s="2">
        <f>O19*(1+Solcelleøkonomi!$D$9/100)</f>
        <v>0.6</v>
      </c>
      <c r="Q19" s="2">
        <f>P19*(1+Solcelleøkonomi!$D$9/100)</f>
        <v>0.6</v>
      </c>
      <c r="R19" s="2">
        <f>Q19*(1+Solcelleøkonomi!$D$9/100)</f>
        <v>0.6</v>
      </c>
      <c r="S19" s="2">
        <f>R19*(1+Solcelleøkonomi!$D$9/100)</f>
        <v>0.6</v>
      </c>
      <c r="T19" s="2">
        <f>S19*(1+Solcelleøkonomi!$D$9/100)</f>
        <v>0.6</v>
      </c>
      <c r="U19" s="2">
        <f>T19*(1+Solcelleøkonomi!$D$9/100)</f>
        <v>0.6</v>
      </c>
      <c r="V19" s="2">
        <f>U19*(1+Solcelleøkonomi!$D$9/100)</f>
        <v>0.6</v>
      </c>
      <c r="W19" s="2">
        <f>V19*(1+Solcelleøkonomi!$D$9/100)</f>
        <v>0.6</v>
      </c>
      <c r="X19" s="2">
        <f>W19*(1+Solcelleøkonomi!$D$9/100)</f>
        <v>0.6</v>
      </c>
      <c r="Y19" s="2">
        <f>X19*(1+Solcelleøkonomi!$D$9/100)</f>
        <v>0.6</v>
      </c>
      <c r="Z19" s="2">
        <f>Y19*(1+Solcelleøkonomi!$D$9/100)</f>
        <v>0.6</v>
      </c>
      <c r="AA19" s="2">
        <f>Z19*(1+Solcelleøkonomi!$D$9/100)</f>
        <v>0.6</v>
      </c>
      <c r="AB19" s="2">
        <f>AA19*(1+Solcelleøkonomi!$D$9/100)</f>
        <v>0.6</v>
      </c>
      <c r="AC19" s="2">
        <f>AB19*(1+Solcelleøkonomi!$D$9/100)</f>
        <v>0.6</v>
      </c>
      <c r="AD19" s="2">
        <f>AC19*(1+Solcelleøkonomi!$D$9/100)</f>
        <v>0.6</v>
      </c>
      <c r="AE19" s="2">
        <f>AD19*(1+Solcelleøkonomi!$D$9/100)</f>
        <v>0.6</v>
      </c>
    </row>
    <row r="20" spans="1:31" ht="16.5" customHeight="1" x14ac:dyDescent="0.25"/>
    <row r="21" spans="1:31" ht="12.75" customHeight="1" x14ac:dyDescent="0.25">
      <c r="A21" s="2" t="s">
        <v>107</v>
      </c>
      <c r="B21" s="46">
        <f>Solcelleøkonomi!D6</f>
        <v>7000</v>
      </c>
    </row>
    <row r="22" spans="1:31" ht="12.75" customHeight="1" x14ac:dyDescent="0.25">
      <c r="A22" s="2" t="s">
        <v>108</v>
      </c>
      <c r="B22" s="46">
        <f>$B$21-B16</f>
        <v>1000</v>
      </c>
      <c r="C22" s="46">
        <f t="shared" ref="C22:AE22" si="8">$B$21-C16</f>
        <v>1030</v>
      </c>
      <c r="D22" s="46">
        <f t="shared" si="8"/>
        <v>1060</v>
      </c>
      <c r="E22" s="46">
        <f t="shared" si="8"/>
        <v>1090</v>
      </c>
      <c r="F22" s="46">
        <f t="shared" si="8"/>
        <v>1120</v>
      </c>
      <c r="G22" s="46">
        <f t="shared" si="8"/>
        <v>1150</v>
      </c>
      <c r="H22" s="46">
        <f t="shared" si="8"/>
        <v>1180</v>
      </c>
      <c r="I22" s="46">
        <f t="shared" si="8"/>
        <v>1210</v>
      </c>
      <c r="J22" s="46">
        <f t="shared" si="8"/>
        <v>1240</v>
      </c>
      <c r="K22" s="46">
        <f t="shared" si="8"/>
        <v>1270</v>
      </c>
      <c r="L22" s="46">
        <f t="shared" si="8"/>
        <v>1300</v>
      </c>
      <c r="M22" s="46">
        <f t="shared" si="8"/>
        <v>1330</v>
      </c>
      <c r="N22" s="46">
        <f t="shared" si="8"/>
        <v>1360</v>
      </c>
      <c r="O22" s="46">
        <f t="shared" si="8"/>
        <v>1390</v>
      </c>
      <c r="P22" s="46">
        <f t="shared" si="8"/>
        <v>1420</v>
      </c>
      <c r="Q22" s="46">
        <f t="shared" si="8"/>
        <v>1450</v>
      </c>
      <c r="R22" s="46">
        <f t="shared" si="8"/>
        <v>1480</v>
      </c>
      <c r="S22" s="46">
        <f t="shared" si="8"/>
        <v>1510</v>
      </c>
      <c r="T22" s="46">
        <f t="shared" si="8"/>
        <v>1540.0000000000009</v>
      </c>
      <c r="U22" s="46">
        <f t="shared" si="8"/>
        <v>1570.0000000000009</v>
      </c>
      <c r="V22" s="46">
        <f t="shared" si="8"/>
        <v>1600.0000000000009</v>
      </c>
      <c r="W22" s="46">
        <f t="shared" si="8"/>
        <v>1630.0000000000009</v>
      </c>
      <c r="X22" s="46">
        <f t="shared" si="8"/>
        <v>1660.0000000000009</v>
      </c>
      <c r="Y22" s="46">
        <f t="shared" si="8"/>
        <v>1690.0000000000009</v>
      </c>
      <c r="Z22" s="46">
        <f t="shared" si="8"/>
        <v>1720.0000000000009</v>
      </c>
      <c r="AA22" s="46">
        <f t="shared" si="8"/>
        <v>1750.0000000000009</v>
      </c>
      <c r="AB22" s="46">
        <f t="shared" si="8"/>
        <v>1780.0000000000009</v>
      </c>
      <c r="AC22" s="46">
        <f t="shared" si="8"/>
        <v>1810.0000000000009</v>
      </c>
      <c r="AD22" s="46">
        <f t="shared" si="8"/>
        <v>1840.0000000000009</v>
      </c>
      <c r="AE22" s="46">
        <f t="shared" si="8"/>
        <v>1870.0000000000009</v>
      </c>
    </row>
    <row r="23" spans="1:31" ht="18" customHeight="1" x14ac:dyDescent="0.25">
      <c r="A23" s="2" t="s">
        <v>36</v>
      </c>
      <c r="B23" s="2">
        <f>(B18*Solcelleøkonomi!$D$6)/B12</f>
        <v>28000</v>
      </c>
      <c r="C23" s="2">
        <f>(C18*Solcelleøkonomi!$D$6)/C12</f>
        <v>26912.725874663593</v>
      </c>
      <c r="D23" s="2">
        <f>(D18*Solcelleøkonomi!$D$6)/D12</f>
        <v>26385.025367317248</v>
      </c>
      <c r="E23" s="2">
        <f>(E18*Solcelleøkonomi!$D$6)/E12</f>
        <v>25867.671928742398</v>
      </c>
      <c r="F23" s="2">
        <f>(F18*Solcelleøkonomi!$D$6)/F12</f>
        <v>25360.462675237646</v>
      </c>
      <c r="G23" s="2">
        <f>(G18*Solcelleøkonomi!$D$6)/G12</f>
        <v>24863.198701213376</v>
      </c>
      <c r="H23" s="2">
        <f>(H18*Solcelleøkonomi!$D$6)/H12</f>
        <v>24375.685001189591</v>
      </c>
      <c r="I23" s="2">
        <f>(I18*Solcelleøkonomi!$D$6)/I12</f>
        <v>23897.730393323123</v>
      </c>
      <c r="J23" s="2">
        <f>(J18*Solcelleøkonomi!$D$6)/J12</f>
        <v>23429.147444434435</v>
      </c>
      <c r="K23" s="2">
        <f>(K18*Solcelleøkonomi!$D$6)/K12</f>
        <v>22969.752396504347</v>
      </c>
      <c r="L23" s="2">
        <f>(L18*Solcelleøkonomi!$D$6)/L12</f>
        <v>22519.365094612109</v>
      </c>
      <c r="M23" s="2">
        <f>(M18*Solcelleøkonomi!$D$6)/M12</f>
        <v>22077.80891628638</v>
      </c>
      <c r="N23" s="2">
        <f>(N18*Solcelleøkonomi!$D$6)/N12</f>
        <v>21644.910702241548</v>
      </c>
      <c r="O23" s="2">
        <f>(O18*Solcelleøkonomi!$D$6)/O12</f>
        <v>21220.500688472104</v>
      </c>
      <c r="P23" s="2">
        <f>(P18*Solcelleøkonomi!$D$6)/P12</f>
        <v>20804.412439678541</v>
      </c>
      <c r="Q23" s="2">
        <f>(Q18*Solcelleøkonomi!$D$6)/Q12</f>
        <v>20396.482783998566</v>
      </c>
      <c r="R23" s="2">
        <f>(R18*Solcelleøkonomi!$D$6)/R12</f>
        <v>19996.551749018199</v>
      </c>
      <c r="S23" s="2">
        <f>(S18*Solcelleøkonomi!$D$6)/S12</f>
        <v>19604.462499037454</v>
      </c>
      <c r="T23" s="2">
        <f>(T18*Solcelleøkonomi!$D$6)/T12</f>
        <v>19220.061273566131</v>
      </c>
      <c r="U23" s="2">
        <f>(U18*Solcelleøkonomi!$D$6)/U12</f>
        <v>18843.197327025617</v>
      </c>
      <c r="V23" s="2">
        <f>(V18*Solcelleøkonomi!$D$6)/V12</f>
        <v>18473.722869632958</v>
      </c>
      <c r="W23" s="2">
        <f>(W18*Solcelleøkonomi!$D$6)/W12</f>
        <v>18111.493009444075</v>
      </c>
      <c r="X23" s="2">
        <f>(X18*Solcelleøkonomi!$D$6)/X12</f>
        <v>17756.365695533412</v>
      </c>
      <c r="Y23" s="2">
        <f>(Y18*Solcelleøkonomi!$D$6)/Y12</f>
        <v>17408.201662287658</v>
      </c>
      <c r="Z23" s="2">
        <f>(Z18*Solcelleøkonomi!$D$6)/Z12</f>
        <v>17066.864374791821</v>
      </c>
      <c r="AA23" s="2">
        <f>(AA18*Solcelleøkonomi!$D$6)/AA12</f>
        <v>16732.219975286098</v>
      </c>
      <c r="AB23" s="2">
        <f>(AB18*Solcelleøkonomi!$D$6)/AB12</f>
        <v>16404.137230672648</v>
      </c>
      <c r="AC23" s="2">
        <f>(AC18*Solcelleøkonomi!$D$6)/AC12</f>
        <v>16082.487481051612</v>
      </c>
      <c r="AD23" s="2">
        <f>(AD18*Solcelleøkonomi!$D$6)/AD12</f>
        <v>15767.144589266289</v>
      </c>
      <c r="AE23" s="2">
        <f>(AE18*Solcelleøkonomi!$D$6)/AE12</f>
        <v>15457.984891437536</v>
      </c>
    </row>
    <row r="24" spans="1:31" ht="19.5" customHeight="1" x14ac:dyDescent="0.25">
      <c r="A24" s="49" t="s">
        <v>37</v>
      </c>
      <c r="B24" s="51">
        <f>IF( B22&lt;=0,B22*B19,B22*B18)</f>
        <v>4000</v>
      </c>
      <c r="C24" s="51">
        <f t="shared" ref="C24:AE24" si="9">IF( C22&lt;=0,C22*C19,C22*C18)</f>
        <v>4120</v>
      </c>
      <c r="D24" s="51">
        <f t="shared" si="9"/>
        <v>4240</v>
      </c>
      <c r="E24" s="51">
        <f t="shared" si="9"/>
        <v>4360</v>
      </c>
      <c r="F24" s="51">
        <f t="shared" si="9"/>
        <v>4480</v>
      </c>
      <c r="G24" s="51">
        <f t="shared" si="9"/>
        <v>4600</v>
      </c>
      <c r="H24" s="51">
        <f t="shared" si="9"/>
        <v>4720</v>
      </c>
      <c r="I24" s="51">
        <f t="shared" si="9"/>
        <v>4840</v>
      </c>
      <c r="J24" s="51">
        <f t="shared" si="9"/>
        <v>4960</v>
      </c>
      <c r="K24" s="51">
        <f t="shared" si="9"/>
        <v>5080</v>
      </c>
      <c r="L24" s="51">
        <f t="shared" si="9"/>
        <v>5200</v>
      </c>
      <c r="M24" s="51">
        <f t="shared" si="9"/>
        <v>5320</v>
      </c>
      <c r="N24" s="51">
        <f t="shared" si="9"/>
        <v>5440</v>
      </c>
      <c r="O24" s="51">
        <f t="shared" si="9"/>
        <v>5560</v>
      </c>
      <c r="P24" s="51">
        <f t="shared" si="9"/>
        <v>5680</v>
      </c>
      <c r="Q24" s="51">
        <f t="shared" si="9"/>
        <v>5800</v>
      </c>
      <c r="R24" s="51">
        <f t="shared" si="9"/>
        <v>5920</v>
      </c>
      <c r="S24" s="51">
        <f t="shared" si="9"/>
        <v>6040</v>
      </c>
      <c r="T24" s="51">
        <f t="shared" si="9"/>
        <v>6160.0000000000036</v>
      </c>
      <c r="U24" s="51">
        <f t="shared" si="9"/>
        <v>6280.0000000000036</v>
      </c>
      <c r="V24" s="51">
        <f t="shared" si="9"/>
        <v>6400.0000000000036</v>
      </c>
      <c r="W24" s="51">
        <f t="shared" si="9"/>
        <v>6520.0000000000036</v>
      </c>
      <c r="X24" s="51">
        <f t="shared" si="9"/>
        <v>6640.0000000000036</v>
      </c>
      <c r="Y24" s="51">
        <f t="shared" si="9"/>
        <v>6760.0000000000036</v>
      </c>
      <c r="Z24" s="51">
        <f t="shared" si="9"/>
        <v>6880.0000000000036</v>
      </c>
      <c r="AA24" s="51">
        <f t="shared" si="9"/>
        <v>7000.0000000000036</v>
      </c>
      <c r="AB24" s="51">
        <f t="shared" si="9"/>
        <v>7120.0000000000036</v>
      </c>
      <c r="AC24" s="51">
        <f t="shared" si="9"/>
        <v>7240.0000000000036</v>
      </c>
      <c r="AD24" s="51">
        <f t="shared" si="9"/>
        <v>7360.0000000000036</v>
      </c>
      <c r="AE24" s="51">
        <f t="shared" si="9"/>
        <v>7480.0000000000036</v>
      </c>
    </row>
    <row r="25" spans="1:31" ht="15.75" customHeight="1" x14ac:dyDescent="0.25">
      <c r="A25" s="52" t="s">
        <v>38</v>
      </c>
      <c r="B25" s="52">
        <f>B23-B24</f>
        <v>24000</v>
      </c>
      <c r="C25" s="52">
        <f t="shared" ref="C25:AE25" si="10">C23+C24</f>
        <v>31032.725874663593</v>
      </c>
      <c r="D25" s="52">
        <f t="shared" si="10"/>
        <v>30625.025367317248</v>
      </c>
      <c r="E25" s="52">
        <f t="shared" si="10"/>
        <v>30227.671928742398</v>
      </c>
      <c r="F25" s="52">
        <f t="shared" si="10"/>
        <v>29840.462675237646</v>
      </c>
      <c r="G25" s="52">
        <f t="shared" si="10"/>
        <v>29463.198701213376</v>
      </c>
      <c r="H25" s="52">
        <f t="shared" si="10"/>
        <v>29095.685001189591</v>
      </c>
      <c r="I25" s="52">
        <f t="shared" si="10"/>
        <v>28737.730393323123</v>
      </c>
      <c r="J25" s="52">
        <f t="shared" si="10"/>
        <v>28389.147444434435</v>
      </c>
      <c r="K25" s="52">
        <f t="shared" si="10"/>
        <v>28049.752396504347</v>
      </c>
      <c r="L25" s="52">
        <f t="shared" si="10"/>
        <v>27719.365094612109</v>
      </c>
      <c r="M25" s="52">
        <f t="shared" si="10"/>
        <v>27397.80891628638</v>
      </c>
      <c r="N25" s="52">
        <f t="shared" si="10"/>
        <v>27084.910702241548</v>
      </c>
      <c r="O25" s="52">
        <f t="shared" si="10"/>
        <v>26780.500688472104</v>
      </c>
      <c r="P25" s="52">
        <f t="shared" si="10"/>
        <v>26484.412439678541</v>
      </c>
      <c r="Q25" s="52">
        <f t="shared" si="10"/>
        <v>26196.482783998566</v>
      </c>
      <c r="R25" s="52">
        <f t="shared" si="10"/>
        <v>25916.551749018199</v>
      </c>
      <c r="S25" s="52">
        <f t="shared" si="10"/>
        <v>25644.462499037454</v>
      </c>
      <c r="T25" s="52">
        <f t="shared" si="10"/>
        <v>25380.061273566134</v>
      </c>
      <c r="U25" s="52">
        <f t="shared" si="10"/>
        <v>25123.19732702562</v>
      </c>
      <c r="V25" s="52">
        <f t="shared" si="10"/>
        <v>24873.722869632962</v>
      </c>
      <c r="W25" s="52">
        <f t="shared" si="10"/>
        <v>24631.493009444079</v>
      </c>
      <c r="X25" s="52">
        <f t="shared" si="10"/>
        <v>24396.365695533415</v>
      </c>
      <c r="Y25" s="52">
        <f t="shared" si="10"/>
        <v>24168.201662287662</v>
      </c>
      <c r="Z25" s="52">
        <f t="shared" si="10"/>
        <v>23946.864374791825</v>
      </c>
      <c r="AA25" s="52">
        <f t="shared" si="10"/>
        <v>23732.219975286102</v>
      </c>
      <c r="AB25" s="52">
        <f t="shared" si="10"/>
        <v>23524.137230672652</v>
      </c>
      <c r="AC25" s="52">
        <f t="shared" si="10"/>
        <v>23322.487481051616</v>
      </c>
      <c r="AD25" s="52">
        <f t="shared" si="10"/>
        <v>23127.144589266292</v>
      </c>
      <c r="AE25" s="52">
        <f t="shared" si="10"/>
        <v>22937.98489143754</v>
      </c>
    </row>
    <row r="26" spans="1:31" ht="16.5" customHeight="1" x14ac:dyDescent="0.25">
      <c r="A26" s="2" t="s">
        <v>39</v>
      </c>
      <c r="B26" s="2">
        <f>B6</f>
        <v>5758.1199112087625</v>
      </c>
      <c r="C26" s="2">
        <f t="shared" ref="C26:Z26" si="11">C6</f>
        <v>5790.2526600988722</v>
      </c>
      <c r="D26" s="2">
        <f t="shared" si="11"/>
        <v>5823.9920464334864</v>
      </c>
      <c r="E26" s="2">
        <f>E6</f>
        <v>5859.4184020848325</v>
      </c>
      <c r="F26" s="2">
        <f t="shared" si="11"/>
        <v>5896.6160755187457</v>
      </c>
      <c r="G26" s="2">
        <f t="shared" si="11"/>
        <v>5935.6736326243545</v>
      </c>
      <c r="H26" s="2">
        <f t="shared" si="11"/>
        <v>5976.6840675852436</v>
      </c>
      <c r="I26" s="2">
        <f t="shared" si="11"/>
        <v>6019.7450242941768</v>
      </c>
      <c r="J26" s="2">
        <f t="shared" si="11"/>
        <v>6064.9590288385571</v>
      </c>
      <c r="K26" s="2">
        <f t="shared" si="11"/>
        <v>6112.4337336101562</v>
      </c>
      <c r="L26" s="2">
        <f t="shared" si="11"/>
        <v>6162.282173620335</v>
      </c>
      <c r="M26" s="2">
        <f t="shared" si="11"/>
        <v>6214.6230356310243</v>
      </c>
      <c r="N26" s="2">
        <f t="shared" si="11"/>
        <v>6269.5809407422466</v>
      </c>
      <c r="O26" s="2">
        <f t="shared" si="11"/>
        <v>6327.2867411090301</v>
      </c>
      <c r="P26" s="2">
        <f t="shared" si="11"/>
        <v>6387.8778314941528</v>
      </c>
      <c r="Q26" s="2">
        <f t="shared" si="11"/>
        <v>6451.4984763985321</v>
      </c>
      <c r="R26" s="2">
        <f t="shared" si="11"/>
        <v>6518.3001535481308</v>
      </c>
      <c r="S26" s="2">
        <f t="shared" si="11"/>
        <v>6588.4419145552083</v>
      </c>
      <c r="T26" s="2">
        <f t="shared" si="11"/>
        <v>6662.0907636126403</v>
      </c>
      <c r="U26" s="2">
        <f t="shared" si="11"/>
        <v>6739.4220551229437</v>
      </c>
      <c r="V26" s="2">
        <f t="shared" si="11"/>
        <v>-2.0463630789890883E-13</v>
      </c>
      <c r="W26" s="2">
        <f t="shared" si="11"/>
        <v>-2.1486812329385426E-13</v>
      </c>
      <c r="X26" s="2">
        <f t="shared" si="11"/>
        <v>-2.2561152945854698E-13</v>
      </c>
      <c r="Y26" s="2">
        <f t="shared" si="11"/>
        <v>-2.3689210593147429E-13</v>
      </c>
      <c r="Z26" s="2">
        <f t="shared" si="11"/>
        <v>-2.4873671122804798E-13</v>
      </c>
      <c r="AA26" s="13">
        <f>AA6</f>
        <v>-2.6117354678945044E-13</v>
      </c>
      <c r="AB26" s="13">
        <f>AB6</f>
        <v>-2.7423222412892288E-13</v>
      </c>
      <c r="AC26" s="13">
        <f>AC6</f>
        <v>-2.8794383533536919E-13</v>
      </c>
      <c r="AD26" s="13">
        <f>AD6</f>
        <v>-3.0234102710213755E-13</v>
      </c>
      <c r="AE26" s="13">
        <f>AE6</f>
        <v>-3.1745807845724443E-13</v>
      </c>
    </row>
    <row r="27" spans="1:31" ht="21" customHeight="1" x14ac:dyDescent="0.25">
      <c r="A27" s="2" t="s">
        <v>40</v>
      </c>
      <c r="B27" s="2">
        <f>B25-B26</f>
        <v>18241.880088791237</v>
      </c>
      <c r="C27" s="2">
        <f t="shared" ref="C27:Z27" si="12">C25-C26</f>
        <v>25242.473214564721</v>
      </c>
      <c r="D27" s="2">
        <f t="shared" si="12"/>
        <v>24801.033320883762</v>
      </c>
      <c r="E27" s="2">
        <f t="shared" si="12"/>
        <v>24368.253526657565</v>
      </c>
      <c r="F27" s="2">
        <f t="shared" si="12"/>
        <v>23943.846599718901</v>
      </c>
      <c r="G27" s="2">
        <f t="shared" si="12"/>
        <v>23527.525068589021</v>
      </c>
      <c r="H27" s="2">
        <f t="shared" si="12"/>
        <v>23119.000933604348</v>
      </c>
      <c r="I27" s="2">
        <f t="shared" si="12"/>
        <v>22717.985369028946</v>
      </c>
      <c r="J27" s="2">
        <f t="shared" si="12"/>
        <v>22324.188415595876</v>
      </c>
      <c r="K27" s="2">
        <f t="shared" si="12"/>
        <v>21937.318662894191</v>
      </c>
      <c r="L27" s="2">
        <f t="shared" si="12"/>
        <v>21557.082920991772</v>
      </c>
      <c r="M27" s="2">
        <f t="shared" si="12"/>
        <v>21183.185880655357</v>
      </c>
      <c r="N27" s="2">
        <f t="shared" si="12"/>
        <v>20815.329761499303</v>
      </c>
      <c r="O27" s="2">
        <f t="shared" si="12"/>
        <v>20453.213947363074</v>
      </c>
      <c r="P27" s="2">
        <f t="shared" si="12"/>
        <v>20096.534608184389</v>
      </c>
      <c r="Q27" s="2">
        <f t="shared" si="12"/>
        <v>19744.984307600032</v>
      </c>
      <c r="R27" s="2">
        <f t="shared" si="12"/>
        <v>19398.251595470068</v>
      </c>
      <c r="S27" s="2">
        <f t="shared" si="12"/>
        <v>19056.020584482245</v>
      </c>
      <c r="T27" s="2">
        <f t="shared" si="12"/>
        <v>18717.970509953495</v>
      </c>
      <c r="U27" s="2">
        <f t="shared" si="12"/>
        <v>18383.775271902676</v>
      </c>
      <c r="V27" s="2">
        <f t="shared" si="12"/>
        <v>24873.722869632962</v>
      </c>
      <c r="W27" s="2">
        <f t="shared" si="12"/>
        <v>24631.493009444079</v>
      </c>
      <c r="X27" s="2">
        <f t="shared" si="12"/>
        <v>24396.365695533415</v>
      </c>
      <c r="Y27" s="2">
        <f t="shared" si="12"/>
        <v>24168.201662287662</v>
      </c>
      <c r="Z27" s="2">
        <f t="shared" si="12"/>
        <v>23946.864374791825</v>
      </c>
      <c r="AA27" s="13">
        <f>AA25-AA26</f>
        <v>23732.219975286102</v>
      </c>
      <c r="AB27" s="13">
        <f>AB25-AB26</f>
        <v>23524.137230672652</v>
      </c>
      <c r="AC27" s="13">
        <f>AC25-AC26</f>
        <v>23322.487481051616</v>
      </c>
      <c r="AD27" s="13">
        <f>AD25-AD26</f>
        <v>23127.144589266292</v>
      </c>
      <c r="AE27" s="13">
        <f>AE25-AE26</f>
        <v>22937.98489143754</v>
      </c>
    </row>
    <row r="28" spans="1:31" ht="25.5" customHeight="1" x14ac:dyDescent="0.25">
      <c r="A28" s="2" t="s">
        <v>43</v>
      </c>
      <c r="B28" s="2">
        <f>(B26+B24+B7)/B12</f>
        <v>10438.119911208763</v>
      </c>
      <c r="C28" s="2">
        <f>(C26+C24+C7)/C12</f>
        <v>10179.020242309565</v>
      </c>
      <c r="D28" s="2">
        <f>(D26+D24+D7)/D12</f>
        <v>10124.303667550083</v>
      </c>
      <c r="E28" s="2">
        <f t="shared" ref="E28:AE28" si="13">(E26+E24+E7)/E12</f>
        <v>10069.377837115291</v>
      </c>
      <c r="F28" s="2">
        <f t="shared" si="13"/>
        <v>10014.317832058059</v>
      </c>
      <c r="G28" s="2">
        <f t="shared" si="13"/>
        <v>9959.1972177106782</v>
      </c>
      <c r="H28" s="2">
        <f t="shared" si="13"/>
        <v>9904.0881139110788</v>
      </c>
      <c r="I28" s="2">
        <f>(I26+I24+I7)/I12</f>
        <v>9849.0612642240812</v>
      </c>
      <c r="J28" s="2">
        <f t="shared" si="13"/>
        <v>9794.1861042043802</v>
      </c>
      <c r="K28" s="2">
        <f>(K26+K24+K7)/K12</f>
        <v>9739.5308287475345</v>
      </c>
      <c r="L28" s="2">
        <f t="shared" si="13"/>
        <v>9685.1624585748359</v>
      </c>
      <c r="M28" s="2">
        <f t="shared" si="13"/>
        <v>9631.1469058975581</v>
      </c>
      <c r="N28" s="2">
        <f t="shared" si="13"/>
        <v>9577.5490393057062</v>
      </c>
      <c r="O28" s="2">
        <f t="shared" si="13"/>
        <v>9524.4327479260901</v>
      </c>
      <c r="P28" s="2">
        <f t="shared" si="13"/>
        <v>9471.8610048942573</v>
      </c>
      <c r="Q28" s="2">
        <f t="shared" si="13"/>
        <v>8924.5527768588327</v>
      </c>
      <c r="R28" s="2">
        <f t="shared" si="13"/>
        <v>8882.9683103659354</v>
      </c>
      <c r="S28" s="2">
        <f t="shared" si="13"/>
        <v>8841.9219976846543</v>
      </c>
      <c r="T28" s="2">
        <f t="shared" si="13"/>
        <v>8801.4775047093335</v>
      </c>
      <c r="U28" s="2">
        <f t="shared" si="13"/>
        <v>8761.6978167325396</v>
      </c>
      <c r="V28" s="2">
        <f t="shared" si="13"/>
        <v>4222.5652273446785</v>
      </c>
      <c r="W28" s="2">
        <f t="shared" si="13"/>
        <v>4217.3905150562659</v>
      </c>
      <c r="X28" s="2">
        <f t="shared" si="13"/>
        <v>4210.7952935122112</v>
      </c>
      <c r="Y28" s="2">
        <f t="shared" si="13"/>
        <v>4202.837258466594</v>
      </c>
      <c r="Z28" s="2">
        <f t="shared" si="13"/>
        <v>4193.5723892345641</v>
      </c>
      <c r="AA28" s="2">
        <f t="shared" si="13"/>
        <v>4183.0549938215263</v>
      </c>
      <c r="AB28" s="2">
        <f t="shared" si="13"/>
        <v>4171.3377529424752</v>
      </c>
      <c r="AC28" s="2">
        <f t="shared" si="13"/>
        <v>4158.4717629576335</v>
      </c>
      <c r="AD28" s="2">
        <f t="shared" si="13"/>
        <v>4144.5065777499976</v>
      </c>
      <c r="AE28" s="2">
        <f t="shared" si="13"/>
        <v>4129.4902495697443</v>
      </c>
    </row>
    <row r="30" spans="1:31" x14ac:dyDescent="0.25">
      <c r="A30" s="47" t="s">
        <v>110</v>
      </c>
    </row>
    <row r="31" spans="1:31" x14ac:dyDescent="0.25">
      <c r="A31" s="48" t="s">
        <v>111</v>
      </c>
    </row>
    <row r="32" spans="1:31" x14ac:dyDescent="0.25">
      <c r="A32" s="2" t="s">
        <v>114</v>
      </c>
      <c r="B32" s="70">
        <v>0.25</v>
      </c>
    </row>
    <row r="33" spans="1:31" x14ac:dyDescent="0.25">
      <c r="A33" s="2" t="s">
        <v>113</v>
      </c>
      <c r="B33" s="70">
        <v>7000</v>
      </c>
    </row>
    <row r="34" spans="1:31" x14ac:dyDescent="0.25">
      <c r="A34" s="2" t="s">
        <v>112</v>
      </c>
      <c r="B34" s="46">
        <f>B23</f>
        <v>28000</v>
      </c>
      <c r="C34" s="46">
        <f t="shared" ref="C34:AE34" si="14">C23</f>
        <v>26912.725874663593</v>
      </c>
      <c r="D34" s="46">
        <f t="shared" si="14"/>
        <v>26385.025367317248</v>
      </c>
      <c r="E34" s="46">
        <f t="shared" si="14"/>
        <v>25867.671928742398</v>
      </c>
      <c r="F34" s="46">
        <f t="shared" si="14"/>
        <v>25360.462675237646</v>
      </c>
      <c r="G34" s="46">
        <f t="shared" si="14"/>
        <v>24863.198701213376</v>
      </c>
      <c r="H34" s="46">
        <f t="shared" si="14"/>
        <v>24375.685001189591</v>
      </c>
      <c r="I34" s="46">
        <f t="shared" si="14"/>
        <v>23897.730393323123</v>
      </c>
      <c r="J34" s="46">
        <f t="shared" si="14"/>
        <v>23429.147444434435</v>
      </c>
      <c r="K34" s="46">
        <f t="shared" si="14"/>
        <v>22969.752396504347</v>
      </c>
      <c r="L34" s="46">
        <f t="shared" si="14"/>
        <v>22519.365094612109</v>
      </c>
      <c r="M34" s="46">
        <f t="shared" si="14"/>
        <v>22077.80891628638</v>
      </c>
      <c r="N34" s="46">
        <f t="shared" si="14"/>
        <v>21644.910702241548</v>
      </c>
      <c r="O34" s="46">
        <f t="shared" si="14"/>
        <v>21220.500688472104</v>
      </c>
      <c r="P34" s="46">
        <f t="shared" si="14"/>
        <v>20804.412439678541</v>
      </c>
      <c r="Q34" s="46">
        <f t="shared" si="14"/>
        <v>20396.482783998566</v>
      </c>
      <c r="R34" s="46">
        <f t="shared" si="14"/>
        <v>19996.551749018199</v>
      </c>
      <c r="S34" s="46">
        <f t="shared" si="14"/>
        <v>19604.462499037454</v>
      </c>
      <c r="T34" s="46">
        <f t="shared" si="14"/>
        <v>19220.061273566131</v>
      </c>
      <c r="U34" s="46">
        <f t="shared" si="14"/>
        <v>18843.197327025617</v>
      </c>
      <c r="V34" s="46">
        <f t="shared" si="14"/>
        <v>18473.722869632958</v>
      </c>
      <c r="W34" s="46">
        <f t="shared" si="14"/>
        <v>18111.493009444075</v>
      </c>
      <c r="X34" s="46">
        <f t="shared" si="14"/>
        <v>17756.365695533412</v>
      </c>
      <c r="Y34" s="46">
        <f t="shared" si="14"/>
        <v>17408.201662287658</v>
      </c>
      <c r="Z34" s="46">
        <f t="shared" si="14"/>
        <v>17066.864374791821</v>
      </c>
      <c r="AA34" s="46">
        <f t="shared" si="14"/>
        <v>16732.219975286098</v>
      </c>
      <c r="AB34" s="46">
        <f t="shared" si="14"/>
        <v>16404.137230672648</v>
      </c>
      <c r="AC34" s="46">
        <f t="shared" si="14"/>
        <v>16082.487481051612</v>
      </c>
      <c r="AD34" s="46">
        <f t="shared" si="14"/>
        <v>15767.144589266289</v>
      </c>
      <c r="AE34" s="46">
        <f t="shared" si="14"/>
        <v>15457.984891437536</v>
      </c>
    </row>
    <row r="35" spans="1:31" x14ac:dyDescent="0.25">
      <c r="A35" s="49" t="s">
        <v>113</v>
      </c>
      <c r="B35" s="50">
        <f>$B$33</f>
        <v>7000</v>
      </c>
      <c r="C35" s="50">
        <f t="shared" ref="C35:AE35" si="15">$B$33</f>
        <v>7000</v>
      </c>
      <c r="D35" s="50">
        <f t="shared" si="15"/>
        <v>7000</v>
      </c>
      <c r="E35" s="50">
        <f t="shared" si="15"/>
        <v>7000</v>
      </c>
      <c r="F35" s="50">
        <f t="shared" si="15"/>
        <v>7000</v>
      </c>
      <c r="G35" s="50">
        <f t="shared" si="15"/>
        <v>7000</v>
      </c>
      <c r="H35" s="50">
        <f t="shared" si="15"/>
        <v>7000</v>
      </c>
      <c r="I35" s="50">
        <f t="shared" si="15"/>
        <v>7000</v>
      </c>
      <c r="J35" s="50">
        <f t="shared" si="15"/>
        <v>7000</v>
      </c>
      <c r="K35" s="50">
        <f t="shared" si="15"/>
        <v>7000</v>
      </c>
      <c r="L35" s="50">
        <f t="shared" si="15"/>
        <v>7000</v>
      </c>
      <c r="M35" s="50">
        <f t="shared" si="15"/>
        <v>7000</v>
      </c>
      <c r="N35" s="50">
        <f t="shared" si="15"/>
        <v>7000</v>
      </c>
      <c r="O35" s="50">
        <f t="shared" si="15"/>
        <v>7000</v>
      </c>
      <c r="P35" s="50">
        <f t="shared" si="15"/>
        <v>7000</v>
      </c>
      <c r="Q35" s="50">
        <f t="shared" si="15"/>
        <v>7000</v>
      </c>
      <c r="R35" s="50">
        <f t="shared" si="15"/>
        <v>7000</v>
      </c>
      <c r="S35" s="50">
        <f t="shared" si="15"/>
        <v>7000</v>
      </c>
      <c r="T35" s="50">
        <f t="shared" si="15"/>
        <v>7000</v>
      </c>
      <c r="U35" s="50">
        <f t="shared" si="15"/>
        <v>7000</v>
      </c>
      <c r="V35" s="50">
        <f t="shared" si="15"/>
        <v>7000</v>
      </c>
      <c r="W35" s="50">
        <f t="shared" si="15"/>
        <v>7000</v>
      </c>
      <c r="X35" s="50">
        <f t="shared" si="15"/>
        <v>7000</v>
      </c>
      <c r="Y35" s="50">
        <f t="shared" si="15"/>
        <v>7000</v>
      </c>
      <c r="Z35" s="50">
        <f t="shared" si="15"/>
        <v>7000</v>
      </c>
      <c r="AA35" s="50">
        <f t="shared" si="15"/>
        <v>7000</v>
      </c>
      <c r="AB35" s="50">
        <f t="shared" si="15"/>
        <v>7000</v>
      </c>
      <c r="AC35" s="50">
        <f t="shared" si="15"/>
        <v>7000</v>
      </c>
      <c r="AD35" s="50">
        <f t="shared" si="15"/>
        <v>7000</v>
      </c>
      <c r="AE35" s="50">
        <f t="shared" si="15"/>
        <v>7000</v>
      </c>
    </row>
    <row r="36" spans="1:31" x14ac:dyDescent="0.25">
      <c r="A36" s="2" t="s">
        <v>115</v>
      </c>
      <c r="B36" s="46">
        <f>B34-B35</f>
        <v>21000</v>
      </c>
      <c r="C36" s="46">
        <f t="shared" ref="C36:AE36" si="16">C34-C35</f>
        <v>19912.725874663593</v>
      </c>
      <c r="D36" s="46">
        <f t="shared" si="16"/>
        <v>19385.025367317248</v>
      </c>
      <c r="E36" s="46">
        <f t="shared" si="16"/>
        <v>18867.671928742398</v>
      </c>
      <c r="F36" s="46">
        <f t="shared" si="16"/>
        <v>18360.462675237646</v>
      </c>
      <c r="G36" s="46">
        <f t="shared" si="16"/>
        <v>17863.198701213376</v>
      </c>
      <c r="H36" s="46">
        <f t="shared" si="16"/>
        <v>17375.685001189591</v>
      </c>
      <c r="I36" s="46">
        <f t="shared" si="16"/>
        <v>16897.730393323123</v>
      </c>
      <c r="J36" s="46">
        <f t="shared" si="16"/>
        <v>16429.147444434435</v>
      </c>
      <c r="K36" s="46">
        <f t="shared" si="16"/>
        <v>15969.752396504347</v>
      </c>
      <c r="L36" s="46">
        <f t="shared" si="16"/>
        <v>15519.365094612109</v>
      </c>
      <c r="M36" s="46">
        <f t="shared" si="16"/>
        <v>15077.80891628638</v>
      </c>
      <c r="N36" s="46">
        <f t="shared" si="16"/>
        <v>14644.910702241548</v>
      </c>
      <c r="O36" s="46">
        <f t="shared" si="16"/>
        <v>14220.500688472104</v>
      </c>
      <c r="P36" s="46">
        <f t="shared" si="16"/>
        <v>13804.412439678541</v>
      </c>
      <c r="Q36" s="46">
        <f t="shared" si="16"/>
        <v>13396.482783998566</v>
      </c>
      <c r="R36" s="46">
        <f t="shared" si="16"/>
        <v>12996.551749018199</v>
      </c>
      <c r="S36" s="46">
        <f t="shared" si="16"/>
        <v>12604.462499037454</v>
      </c>
      <c r="T36" s="46">
        <f t="shared" si="16"/>
        <v>12220.061273566131</v>
      </c>
      <c r="U36" s="46">
        <f t="shared" si="16"/>
        <v>11843.197327025617</v>
      </c>
      <c r="V36" s="46">
        <f t="shared" si="16"/>
        <v>11473.722869632958</v>
      </c>
      <c r="W36" s="46">
        <f t="shared" si="16"/>
        <v>11111.493009444075</v>
      </c>
      <c r="X36" s="46">
        <f t="shared" si="16"/>
        <v>10756.365695533412</v>
      </c>
      <c r="Y36" s="46">
        <f t="shared" si="16"/>
        <v>10408.201662287658</v>
      </c>
      <c r="Z36" s="46">
        <f t="shared" si="16"/>
        <v>10066.864374791821</v>
      </c>
      <c r="AA36" s="46">
        <f t="shared" si="16"/>
        <v>9732.2199752860979</v>
      </c>
      <c r="AB36" s="46">
        <f t="shared" si="16"/>
        <v>9404.137230672648</v>
      </c>
      <c r="AC36" s="46">
        <f t="shared" si="16"/>
        <v>9082.4874810516121</v>
      </c>
      <c r="AD36" s="46">
        <f t="shared" si="16"/>
        <v>8767.1445892662887</v>
      </c>
      <c r="AE36" s="46">
        <f t="shared" si="16"/>
        <v>8457.9848914375361</v>
      </c>
    </row>
    <row r="37" spans="1:31" x14ac:dyDescent="0.25">
      <c r="A37" s="2" t="s">
        <v>116</v>
      </c>
      <c r="B37" s="46">
        <f>B36*$B$32</f>
        <v>5250</v>
      </c>
      <c r="C37" s="46">
        <f t="shared" ref="C37:AE37" si="17">C36*$B$32</f>
        <v>4978.1814686658981</v>
      </c>
      <c r="D37" s="46">
        <f t="shared" si="17"/>
        <v>4846.2563418293121</v>
      </c>
      <c r="E37" s="46">
        <f t="shared" si="17"/>
        <v>4716.9179821855996</v>
      </c>
      <c r="F37" s="46">
        <f t="shared" si="17"/>
        <v>4590.1156688094115</v>
      </c>
      <c r="G37" s="46">
        <f t="shared" si="17"/>
        <v>4465.799675303344</v>
      </c>
      <c r="H37" s="46">
        <f t="shared" si="17"/>
        <v>4343.9212502973978</v>
      </c>
      <c r="I37" s="46">
        <f t="shared" si="17"/>
        <v>4224.4325983307808</v>
      </c>
      <c r="J37" s="46">
        <f t="shared" si="17"/>
        <v>4107.2868611086087</v>
      </c>
      <c r="K37" s="46">
        <f t="shared" si="17"/>
        <v>3992.4380991260869</v>
      </c>
      <c r="L37" s="46">
        <f t="shared" si="17"/>
        <v>3879.8412736530272</v>
      </c>
      <c r="M37" s="46">
        <f t="shared" si="17"/>
        <v>3769.452229071595</v>
      </c>
      <c r="N37" s="46">
        <f t="shared" si="17"/>
        <v>3661.2276755603871</v>
      </c>
      <c r="O37" s="46">
        <f t="shared" si="17"/>
        <v>3555.1251721180261</v>
      </c>
      <c r="P37" s="46">
        <f t="shared" si="17"/>
        <v>3451.1031099196352</v>
      </c>
      <c r="Q37" s="46">
        <f t="shared" si="17"/>
        <v>3349.1206959996416</v>
      </c>
      <c r="R37" s="46">
        <f t="shared" si="17"/>
        <v>3249.1379372545498</v>
      </c>
      <c r="S37" s="46">
        <f t="shared" si="17"/>
        <v>3151.1156247593635</v>
      </c>
      <c r="T37" s="46">
        <f t="shared" si="17"/>
        <v>3055.0153183915327</v>
      </c>
      <c r="U37" s="46">
        <f t="shared" si="17"/>
        <v>2960.7993317564042</v>
      </c>
      <c r="V37" s="46">
        <f t="shared" si="17"/>
        <v>2868.4307174082396</v>
      </c>
      <c r="W37" s="46">
        <f t="shared" si="17"/>
        <v>2777.8732523610188</v>
      </c>
      <c r="X37" s="46">
        <f t="shared" si="17"/>
        <v>2689.0914238833529</v>
      </c>
      <c r="Y37" s="46">
        <f t="shared" si="17"/>
        <v>2602.0504155719145</v>
      </c>
      <c r="Z37" s="46">
        <f t="shared" si="17"/>
        <v>2516.7160936979553</v>
      </c>
      <c r="AA37" s="46">
        <f t="shared" si="17"/>
        <v>2433.0549938215245</v>
      </c>
      <c r="AB37" s="46">
        <f t="shared" si="17"/>
        <v>2351.034307668162</v>
      </c>
      <c r="AC37" s="46">
        <f t="shared" si="17"/>
        <v>2270.621870262903</v>
      </c>
      <c r="AD37" s="46">
        <f t="shared" si="17"/>
        <v>2191.7861473165722</v>
      </c>
      <c r="AE37" s="46">
        <f t="shared" si="17"/>
        <v>2114.496222859384</v>
      </c>
    </row>
    <row r="38" spans="1:31" x14ac:dyDescent="0.25">
      <c r="A38" s="2" t="s">
        <v>117</v>
      </c>
      <c r="B38" s="46">
        <f>B37*0.42</f>
        <v>2205</v>
      </c>
      <c r="C38" s="46">
        <f t="shared" ref="C38:AE38" si="18">C37*0.42</f>
        <v>2090.836216839677</v>
      </c>
      <c r="D38" s="46">
        <f t="shared" si="18"/>
        <v>2035.4276635683109</v>
      </c>
      <c r="E38" s="46">
        <f t="shared" si="18"/>
        <v>1981.1055525179518</v>
      </c>
      <c r="F38" s="46">
        <f t="shared" si="18"/>
        <v>1927.8485808999528</v>
      </c>
      <c r="G38" s="46">
        <f t="shared" si="18"/>
        <v>1875.6358636274044</v>
      </c>
      <c r="H38" s="46">
        <f t="shared" si="18"/>
        <v>1824.446925124907</v>
      </c>
      <c r="I38" s="46">
        <f t="shared" si="18"/>
        <v>1774.2616912989279</v>
      </c>
      <c r="J38" s="46">
        <f t="shared" si="18"/>
        <v>1725.0604816656155</v>
      </c>
      <c r="K38" s="46">
        <f t="shared" si="18"/>
        <v>1676.8240016329564</v>
      </c>
      <c r="L38" s="46">
        <f t="shared" si="18"/>
        <v>1629.5333349342714</v>
      </c>
      <c r="M38" s="46">
        <f t="shared" si="18"/>
        <v>1583.1699362100699</v>
      </c>
      <c r="N38" s="46">
        <f t="shared" si="18"/>
        <v>1537.7156237353624</v>
      </c>
      <c r="O38" s="46">
        <f t="shared" si="18"/>
        <v>1493.1525722895708</v>
      </c>
      <c r="P38" s="46">
        <f t="shared" si="18"/>
        <v>1449.4633061662466</v>
      </c>
      <c r="Q38" s="46">
        <f t="shared" si="18"/>
        <v>1406.6306923198495</v>
      </c>
      <c r="R38" s="46">
        <f t="shared" si="18"/>
        <v>1364.6379336469108</v>
      </c>
      <c r="S38" s="46">
        <f t="shared" si="18"/>
        <v>1323.4685623989326</v>
      </c>
      <c r="T38" s="46">
        <f t="shared" si="18"/>
        <v>1283.1064337244436</v>
      </c>
      <c r="U38" s="46">
        <f t="shared" si="18"/>
        <v>1243.5357193376897</v>
      </c>
      <c r="V38" s="46">
        <f t="shared" si="18"/>
        <v>1204.7409013114607</v>
      </c>
      <c r="W38" s="46">
        <f t="shared" si="18"/>
        <v>1166.7067659916279</v>
      </c>
      <c r="X38" s="46">
        <f t="shared" si="18"/>
        <v>1129.4183980310081</v>
      </c>
      <c r="Y38" s="46">
        <f t="shared" si="18"/>
        <v>1092.861174540204</v>
      </c>
      <c r="Z38" s="46">
        <f t="shared" si="18"/>
        <v>1057.0207593531411</v>
      </c>
      <c r="AA38" s="46">
        <f t="shared" si="18"/>
        <v>1021.8830974050402</v>
      </c>
      <c r="AB38" s="46">
        <f t="shared" si="18"/>
        <v>987.43440922062803</v>
      </c>
      <c r="AC38" s="46">
        <f t="shared" si="18"/>
        <v>953.66118551041927</v>
      </c>
      <c r="AD38" s="46">
        <f t="shared" si="18"/>
        <v>920.55018187296025</v>
      </c>
      <c r="AE38" s="46">
        <f t="shared" si="18"/>
        <v>888.08841360094129</v>
      </c>
    </row>
    <row r="39" spans="1:31" x14ac:dyDescent="0.25">
      <c r="A39" s="2" t="s">
        <v>118</v>
      </c>
      <c r="B39" s="46">
        <f>Anuitet!$D$6*0.3</f>
        <v>1275</v>
      </c>
      <c r="C39" s="46">
        <f>Anuitet!$D$7*0.3</f>
        <v>1236.4407013318685</v>
      </c>
      <c r="D39" s="46">
        <f>Anuitet!$D$8*0.3</f>
        <v>1195.9534377303305</v>
      </c>
      <c r="E39" s="46">
        <f>Anuitet!$D$9*0.3</f>
        <v>1153.4418109487158</v>
      </c>
      <c r="F39" s="46">
        <f>Anuitet!$D$10*0.3</f>
        <v>1108.8046028280203</v>
      </c>
      <c r="G39" s="46">
        <f>Anuitet!$D$11*0.3</f>
        <v>1061.9355343012896</v>
      </c>
      <c r="H39" s="46">
        <f>Anuitet!$D$12*0.3</f>
        <v>1012.7230123482228</v>
      </c>
      <c r="I39" s="46">
        <f>Anuitet!$D$13*0.3</f>
        <v>961.04986429750261</v>
      </c>
      <c r="J39" s="46">
        <f>Anuitet!$D$14*0.3</f>
        <v>906.79305884424616</v>
      </c>
      <c r="K39" s="46">
        <f>Anuitet!$D$15*0.3</f>
        <v>849.82341311832693</v>
      </c>
      <c r="L39" s="46">
        <f>Anuitet!$D$16*0.3</f>
        <v>790.00528510611196</v>
      </c>
      <c r="M39" s="46">
        <f>Anuitet!$D$17*0.3</f>
        <v>727.19625069328606</v>
      </c>
      <c r="N39" s="46">
        <f>Anuitet!$D$18*0.3</f>
        <v>661.24676455981898</v>
      </c>
      <c r="O39" s="46">
        <f>Anuitet!$D$19*0.3</f>
        <v>591.99980411967852</v>
      </c>
      <c r="P39" s="46">
        <f>Anuitet!$D$20*0.3</f>
        <v>519.29049565753098</v>
      </c>
      <c r="Q39" s="46">
        <f>Anuitet!$D$21*0.3</f>
        <v>442.9457217722761</v>
      </c>
      <c r="R39" s="46">
        <f>Anuitet!$D$22*0.3</f>
        <v>362.78370919275841</v>
      </c>
      <c r="S39" s="46">
        <f>Anuitet!$D$23*0.3</f>
        <v>278.61359598426486</v>
      </c>
      <c r="T39" s="46">
        <f>Anuitet!$D$24*0.3</f>
        <v>190.23497711534665</v>
      </c>
      <c r="U39" s="46">
        <f>Anuitet!$D$25*0.3</f>
        <v>97.437427302982556</v>
      </c>
      <c r="V39" s="46">
        <f>Anuitet!$D$26*0.3</f>
        <v>2.4556356947869064E-13</v>
      </c>
      <c r="W39" s="46">
        <f>Anuitet!$D$27*0.3</f>
        <v>2.5784174795262513E-13</v>
      </c>
      <c r="X39" s="46">
        <f>Anuitet!$D$28*0.3</f>
        <v>2.7073383535025638E-13</v>
      </c>
      <c r="Y39" s="46">
        <f>Anuitet!$D$29*0.3</f>
        <v>2.8427052711776918E-13</v>
      </c>
      <c r="Z39" s="46">
        <f>Anuitet!$D$30*0.3</f>
        <v>2.9848405347365761E-13</v>
      </c>
      <c r="AA39" s="46">
        <f>Anuitet!$D$31*0.3</f>
        <v>3.1340825614734052E-13</v>
      </c>
      <c r="AB39" s="46">
        <f>Anuitet!$D$32*0.3</f>
        <v>3.290786689547075E-13</v>
      </c>
      <c r="AC39" s="46">
        <f>Anuitet!$D$33*0.3</f>
        <v>3.4553260240244297E-13</v>
      </c>
      <c r="AD39" s="46">
        <f>Anuitet!$D$34*0.3</f>
        <v>3.6280923252256502E-13</v>
      </c>
      <c r="AE39" s="46">
        <f>Anuitet!$D$35*0.3</f>
        <v>3.8094969414869331E-13</v>
      </c>
    </row>
    <row r="40" spans="1:31" x14ac:dyDescent="0.25">
      <c r="A40" s="49" t="s">
        <v>119</v>
      </c>
      <c r="B40" s="50">
        <f>B38-B39</f>
        <v>930</v>
      </c>
      <c r="C40" s="50">
        <f t="shared" ref="C40:AE40" si="19">C38-C39</f>
        <v>854.39551550780857</v>
      </c>
      <c r="D40" s="50">
        <f t="shared" si="19"/>
        <v>839.47422583798038</v>
      </c>
      <c r="E40" s="50">
        <f t="shared" si="19"/>
        <v>827.66374156923598</v>
      </c>
      <c r="F40" s="50">
        <f t="shared" si="19"/>
        <v>819.04397807193254</v>
      </c>
      <c r="G40" s="50">
        <f t="shared" si="19"/>
        <v>813.7003293261148</v>
      </c>
      <c r="H40" s="50">
        <f t="shared" si="19"/>
        <v>811.72391277668419</v>
      </c>
      <c r="I40" s="50">
        <f t="shared" si="19"/>
        <v>813.21182700142526</v>
      </c>
      <c r="J40" s="50">
        <f t="shared" si="19"/>
        <v>818.26742282136934</v>
      </c>
      <c r="K40" s="50">
        <f t="shared" si="19"/>
        <v>827.0005885146295</v>
      </c>
      <c r="L40" s="50">
        <f t="shared" si="19"/>
        <v>839.5280498281594</v>
      </c>
      <c r="M40" s="50">
        <f t="shared" si="19"/>
        <v>855.9736855167838</v>
      </c>
      <c r="N40" s="50">
        <f t="shared" si="19"/>
        <v>876.46885917554346</v>
      </c>
      <c r="O40" s="50">
        <f t="shared" si="19"/>
        <v>901.15276816989228</v>
      </c>
      <c r="P40" s="50">
        <f t="shared" si="19"/>
        <v>930.17281050871566</v>
      </c>
      <c r="Q40" s="50">
        <f t="shared" si="19"/>
        <v>963.68497054757336</v>
      </c>
      <c r="R40" s="50">
        <f t="shared" si="19"/>
        <v>1001.8542244541525</v>
      </c>
      <c r="S40" s="50">
        <f t="shared" si="19"/>
        <v>1044.8549664146676</v>
      </c>
      <c r="T40" s="50">
        <f t="shared" si="19"/>
        <v>1092.8714566090969</v>
      </c>
      <c r="U40" s="50">
        <f t="shared" si="19"/>
        <v>1146.0982920347071</v>
      </c>
      <c r="V40" s="50">
        <f t="shared" si="19"/>
        <v>1204.7409013114604</v>
      </c>
      <c r="W40" s="50">
        <f t="shared" si="19"/>
        <v>1166.7067659916277</v>
      </c>
      <c r="X40" s="50">
        <f t="shared" si="19"/>
        <v>1129.4183980310079</v>
      </c>
      <c r="Y40" s="50">
        <f t="shared" si="19"/>
        <v>1092.8611745402038</v>
      </c>
      <c r="Z40" s="50">
        <f t="shared" si="19"/>
        <v>1057.0207593531409</v>
      </c>
      <c r="AA40" s="50">
        <f t="shared" si="19"/>
        <v>1021.8830974050398</v>
      </c>
      <c r="AB40" s="50">
        <f t="shared" si="19"/>
        <v>987.43440922062769</v>
      </c>
      <c r="AC40" s="50">
        <f t="shared" si="19"/>
        <v>953.66118551041893</v>
      </c>
      <c r="AD40" s="50">
        <f t="shared" si="19"/>
        <v>920.55018187295991</v>
      </c>
      <c r="AE40" s="50">
        <f t="shared" si="19"/>
        <v>888.08841360094095</v>
      </c>
    </row>
    <row r="43" spans="1:31" x14ac:dyDescent="0.25">
      <c r="A43" s="48"/>
    </row>
  </sheetData>
  <phoneticPr fontId="4" type="noConversion"/>
  <printOptions headings="1" gridLines="1"/>
  <pageMargins left="0.70866141732283472" right="0.70866141732283472" top="0.74803149606299213" bottom="0.74803149606299213" header="0.31496062992125984" footer="0.31496062992125984"/>
  <pageSetup paperSize="8" scale="98" orientation="landscape"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J35"/>
  <sheetViews>
    <sheetView workbookViewId="0">
      <selection activeCell="D3" sqref="D3"/>
    </sheetView>
  </sheetViews>
  <sheetFormatPr defaultRowHeight="15" x14ac:dyDescent="0.25"/>
  <cols>
    <col min="1" max="1" width="9" customWidth="1"/>
    <col min="2" max="2" width="6.42578125" customWidth="1"/>
    <col min="3" max="3" width="16.28515625" customWidth="1"/>
    <col min="4" max="5" width="12.85546875" bestFit="1" customWidth="1"/>
    <col min="6" max="6" width="16.85546875" bestFit="1" customWidth="1"/>
    <col min="7" max="7" width="11.85546875" bestFit="1" customWidth="1"/>
    <col min="8" max="8" width="17.42578125" bestFit="1" customWidth="1"/>
    <col min="9" max="9" width="5.85546875" customWidth="1"/>
    <col min="10" max="10" width="11.85546875" bestFit="1" customWidth="1"/>
  </cols>
  <sheetData>
    <row r="1" spans="1:10" x14ac:dyDescent="0.25">
      <c r="C1" s="86" t="s">
        <v>69</v>
      </c>
      <c r="D1" s="87"/>
      <c r="E1" s="87"/>
      <c r="F1" s="87"/>
      <c r="G1" s="87"/>
    </row>
    <row r="2" spans="1:10" x14ac:dyDescent="0.25">
      <c r="C2" s="3" t="s">
        <v>55</v>
      </c>
      <c r="D2" s="4">
        <v>85000</v>
      </c>
      <c r="E2" s="5"/>
      <c r="F2" s="5" t="s">
        <v>56</v>
      </c>
      <c r="G2" s="5"/>
    </row>
    <row r="3" spans="1:10" x14ac:dyDescent="0.25">
      <c r="C3" s="3" t="s">
        <v>57</v>
      </c>
      <c r="D3" s="4">
        <f>PMT(Solcelleøkonomi!D15/100,Solcelleøkonomi!D16,D2,0,0)</f>
        <v>-6820.6199112087625</v>
      </c>
      <c r="E3" s="5"/>
      <c r="F3" s="5" t="s">
        <v>58</v>
      </c>
      <c r="G3" s="5"/>
    </row>
    <row r="4" spans="1:10" x14ac:dyDescent="0.25">
      <c r="C4" s="6" t="str">
        <f>Solcelleøkonomi!A16</f>
        <v>Vælg lånets afviklingsperiode (10-20-30 år)</v>
      </c>
      <c r="D4" s="5">
        <f>Solcelleøkonomi!D16</f>
        <v>20</v>
      </c>
      <c r="E4" s="5"/>
      <c r="F4" s="5"/>
      <c r="G4" s="5"/>
    </row>
    <row r="5" spans="1:10" x14ac:dyDescent="0.25">
      <c r="A5" t="s">
        <v>67</v>
      </c>
      <c r="C5" s="3" t="s">
        <v>59</v>
      </c>
      <c r="D5" s="7" t="s">
        <v>53</v>
      </c>
      <c r="E5" s="7" t="s">
        <v>60</v>
      </c>
      <c r="F5" s="7" t="s">
        <v>61</v>
      </c>
      <c r="G5" s="7" t="s">
        <v>62</v>
      </c>
      <c r="H5" s="18" t="s">
        <v>72</v>
      </c>
      <c r="J5" s="18" t="s">
        <v>88</v>
      </c>
    </row>
    <row r="6" spans="1:10" x14ac:dyDescent="0.25">
      <c r="A6">
        <v>1</v>
      </c>
      <c r="B6">
        <f>IF(A6&lt;=$D$4,1,0)</f>
        <v>1</v>
      </c>
      <c r="C6" s="6">
        <f>$D$3*B6</f>
        <v>-6820.6199112087625</v>
      </c>
      <c r="D6" s="4">
        <f>D2*Solcelleøkonomi!D15/100</f>
        <v>4250</v>
      </c>
      <c r="E6" s="4">
        <f>D2</f>
        <v>85000</v>
      </c>
      <c r="F6" s="4">
        <f>(C6+D6)</f>
        <v>-2570.6199112087625</v>
      </c>
      <c r="G6" s="4">
        <f>(F6*-1)+(D6*(1-Solcelleøkonomi!D17/100))</f>
        <v>5758.1199112087625</v>
      </c>
      <c r="H6" s="17">
        <f>(Solcelleøkonomi!$D$12*0.0014)+G6</f>
        <v>5877.1199112087625</v>
      </c>
      <c r="I6" s="17"/>
      <c r="J6" s="17">
        <f>+H6-G6</f>
        <v>119</v>
      </c>
    </row>
    <row r="7" spans="1:10" x14ac:dyDescent="0.25">
      <c r="A7">
        <v>2</v>
      </c>
      <c r="B7">
        <f t="shared" ref="B7:B35" si="0">IF(A7&lt;=$D$4,1,0)</f>
        <v>1</v>
      </c>
      <c r="C7" s="6">
        <f t="shared" ref="C7:C35" si="1">$D$3*B7</f>
        <v>-6820.6199112087625</v>
      </c>
      <c r="D7" s="4">
        <f>E7*Solcelleøkonomi!$D$15/100</f>
        <v>4121.469004439562</v>
      </c>
      <c r="E7" s="4">
        <f>E6+F6</f>
        <v>82429.380088791237</v>
      </c>
      <c r="F7" s="4">
        <f>D7+C7</f>
        <v>-2699.1509067692004</v>
      </c>
      <c r="G7" s="4">
        <f>(F7*-1)+(D7*(1-Solcelleøkonomi!D17/100))</f>
        <v>5790.2526600988722</v>
      </c>
      <c r="H7" s="17">
        <f>(Solcelleøkonomi!$D$12*0.0014)+G7</f>
        <v>5909.2526600988722</v>
      </c>
      <c r="I7" s="17"/>
      <c r="J7" s="17">
        <f t="shared" ref="J7:J35" si="2">+H7-G7</f>
        <v>119</v>
      </c>
    </row>
    <row r="8" spans="1:10" x14ac:dyDescent="0.25">
      <c r="A8">
        <v>3</v>
      </c>
      <c r="B8">
        <f t="shared" si="0"/>
        <v>1</v>
      </c>
      <c r="C8" s="6">
        <f t="shared" si="1"/>
        <v>-6820.6199112087625</v>
      </c>
      <c r="D8" s="4">
        <f>E8*Solcelleøkonomi!$D$15/100</f>
        <v>3986.511459101102</v>
      </c>
      <c r="E8" s="4">
        <f t="shared" ref="E8:E35" si="3">E7+F7</f>
        <v>79730.229182022042</v>
      </c>
      <c r="F8" s="4">
        <f t="shared" ref="F8:F35" si="4">D8+C8</f>
        <v>-2834.1084521076605</v>
      </c>
      <c r="G8" s="4">
        <f>(F8*-1)+(D8*(1-Solcelleøkonomi!D17/100))</f>
        <v>5823.9920464334864</v>
      </c>
      <c r="H8" s="17">
        <f>(Solcelleøkonomi!$D$12*0.0014)+G8</f>
        <v>5942.9920464334864</v>
      </c>
      <c r="I8" s="17"/>
      <c r="J8" s="17">
        <f t="shared" si="2"/>
        <v>119</v>
      </c>
    </row>
    <row r="9" spans="1:10" x14ac:dyDescent="0.25">
      <c r="A9">
        <v>4</v>
      </c>
      <c r="B9">
        <f t="shared" si="0"/>
        <v>1</v>
      </c>
      <c r="C9" s="6">
        <f t="shared" si="1"/>
        <v>-6820.6199112087625</v>
      </c>
      <c r="D9" s="4">
        <f>E9*Solcelleøkonomi!$D$15/100</f>
        <v>3844.8060364957196</v>
      </c>
      <c r="E9" s="4">
        <f t="shared" si="3"/>
        <v>76896.120729914386</v>
      </c>
      <c r="F9" s="4">
        <f t="shared" si="4"/>
        <v>-2975.8138747130429</v>
      </c>
      <c r="G9" s="4">
        <f>(F9*-1)+(D9*(1-Solcelleøkonomi!D17/100))</f>
        <v>5859.4184020848325</v>
      </c>
      <c r="H9" s="17">
        <f>(Solcelleøkonomi!$D$12*0.0014)+G9</f>
        <v>5978.4184020848325</v>
      </c>
      <c r="I9" s="17"/>
      <c r="J9" s="17">
        <f t="shared" si="2"/>
        <v>119</v>
      </c>
    </row>
    <row r="10" spans="1:10" x14ac:dyDescent="0.25">
      <c r="A10">
        <v>5</v>
      </c>
      <c r="B10">
        <f t="shared" si="0"/>
        <v>1</v>
      </c>
      <c r="C10" s="6">
        <f t="shared" si="1"/>
        <v>-6820.6199112087625</v>
      </c>
      <c r="D10" s="4">
        <f>E10*Solcelleøkonomi!$D$15/100</f>
        <v>3696.0153427600676</v>
      </c>
      <c r="E10" s="4">
        <f t="shared" si="3"/>
        <v>73920.306855201343</v>
      </c>
      <c r="F10" s="4">
        <f t="shared" si="4"/>
        <v>-3124.6045684486949</v>
      </c>
      <c r="G10" s="4">
        <f>(F10*-1)+(D10*(1-Solcelleøkonomi!D17/100))</f>
        <v>5896.6160755187457</v>
      </c>
      <c r="H10" s="17">
        <f>(Solcelleøkonomi!$D$12*0.0014)+G10</f>
        <v>6015.6160755187457</v>
      </c>
      <c r="I10" s="17"/>
      <c r="J10" s="17">
        <f t="shared" si="2"/>
        <v>119</v>
      </c>
    </row>
    <row r="11" spans="1:10" x14ac:dyDescent="0.25">
      <c r="A11">
        <v>6</v>
      </c>
      <c r="B11">
        <f t="shared" si="0"/>
        <v>1</v>
      </c>
      <c r="C11" s="6">
        <f t="shared" si="1"/>
        <v>-6820.6199112087625</v>
      </c>
      <c r="D11" s="4">
        <f>E11*Solcelleøkonomi!$D$15/100</f>
        <v>3539.7851143376324</v>
      </c>
      <c r="E11" s="4">
        <f t="shared" si="3"/>
        <v>70795.702286752654</v>
      </c>
      <c r="F11" s="4">
        <f t="shared" si="4"/>
        <v>-3280.83479687113</v>
      </c>
      <c r="G11" s="4">
        <f>(F11*-1)+(D11*(1-Solcelleøkonomi!D17/100))</f>
        <v>5935.6736326243545</v>
      </c>
      <c r="H11" s="17">
        <f>(Solcelleøkonomi!$D$12*0.0014)+G11</f>
        <v>6054.6736326243545</v>
      </c>
      <c r="I11" s="17"/>
      <c r="J11" s="17">
        <f t="shared" si="2"/>
        <v>119</v>
      </c>
    </row>
    <row r="12" spans="1:10" x14ac:dyDescent="0.25">
      <c r="A12">
        <v>7</v>
      </c>
      <c r="B12">
        <f t="shared" si="0"/>
        <v>1</v>
      </c>
      <c r="C12" s="6">
        <f t="shared" si="1"/>
        <v>-6820.6199112087625</v>
      </c>
      <c r="D12" s="4">
        <f>E12*Solcelleøkonomi!$D$15/100</f>
        <v>3375.7433744940763</v>
      </c>
      <c r="E12" s="4">
        <f t="shared" si="3"/>
        <v>67514.867489881522</v>
      </c>
      <c r="F12" s="4">
        <f t="shared" si="4"/>
        <v>-3444.8765367146862</v>
      </c>
      <c r="G12" s="4">
        <f>(F12*-1)+(D12*(1-Solcelleøkonomi!D17/100))</f>
        <v>5976.6840675852436</v>
      </c>
      <c r="H12" s="17">
        <f>(Solcelleøkonomi!$D$12*0.0014)+G12</f>
        <v>6095.6840675852436</v>
      </c>
      <c r="I12" s="17"/>
      <c r="J12" s="17">
        <f t="shared" si="2"/>
        <v>119</v>
      </c>
    </row>
    <row r="13" spans="1:10" x14ac:dyDescent="0.25">
      <c r="A13">
        <v>8</v>
      </c>
      <c r="B13">
        <f t="shared" si="0"/>
        <v>1</v>
      </c>
      <c r="C13" s="6">
        <f t="shared" si="1"/>
        <v>-6820.6199112087625</v>
      </c>
      <c r="D13" s="4">
        <f>E13*Solcelleøkonomi!$D$15/100</f>
        <v>3203.4995476583422</v>
      </c>
      <c r="E13" s="4">
        <f t="shared" si="3"/>
        <v>64069.990953166838</v>
      </c>
      <c r="F13" s="4">
        <f t="shared" si="4"/>
        <v>-3617.1203635504203</v>
      </c>
      <c r="G13" s="4">
        <f>(F13*-1)+(D13*(1-Solcelleøkonomi!D17/100))</f>
        <v>6019.7450242941768</v>
      </c>
      <c r="H13" s="17">
        <f>(Solcelleøkonomi!$D$12*0.0014)+G13</f>
        <v>6138.7450242941768</v>
      </c>
      <c r="I13" s="17"/>
      <c r="J13" s="17">
        <f t="shared" si="2"/>
        <v>119</v>
      </c>
    </row>
    <row r="14" spans="1:10" x14ac:dyDescent="0.25">
      <c r="A14">
        <v>9</v>
      </c>
      <c r="B14">
        <f t="shared" si="0"/>
        <v>1</v>
      </c>
      <c r="C14" s="6">
        <f t="shared" si="1"/>
        <v>-6820.6199112087625</v>
      </c>
      <c r="D14" s="4">
        <f>E14*Solcelleøkonomi!$D$15/100</f>
        <v>3022.6435294808207</v>
      </c>
      <c r="E14" s="4">
        <f t="shared" si="3"/>
        <v>60452.870589616417</v>
      </c>
      <c r="F14" s="4">
        <f t="shared" si="4"/>
        <v>-3797.9763817279418</v>
      </c>
      <c r="G14" s="4">
        <f>(F14*-1)+(D14*(1-Solcelleøkonomi!D17/100))</f>
        <v>6064.9590288385571</v>
      </c>
      <c r="H14" s="17">
        <f>(Solcelleøkonomi!$D$12*0.0014)+G14</f>
        <v>6183.9590288385571</v>
      </c>
      <c r="I14" s="17"/>
      <c r="J14" s="17">
        <f t="shared" si="2"/>
        <v>119</v>
      </c>
    </row>
    <row r="15" spans="1:10" x14ac:dyDescent="0.25">
      <c r="A15">
        <v>10</v>
      </c>
      <c r="B15">
        <f t="shared" si="0"/>
        <v>1</v>
      </c>
      <c r="C15" s="6">
        <f t="shared" si="1"/>
        <v>-6820.6199112087625</v>
      </c>
      <c r="D15" s="4">
        <f>E15*Solcelleøkonomi!$D$15/100</f>
        <v>2832.7447103944232</v>
      </c>
      <c r="E15" s="4">
        <f t="shared" si="3"/>
        <v>56654.894207888472</v>
      </c>
      <c r="F15" s="4">
        <f t="shared" si="4"/>
        <v>-3987.8752008143392</v>
      </c>
      <c r="G15" s="4">
        <f>(F15*-1)+(D15*(1-Solcelleøkonomi!D17/100))</f>
        <v>6112.4337336101562</v>
      </c>
      <c r="H15" s="17">
        <f>(Solcelleøkonomi!$D$12*0.0014)+G15</f>
        <v>6231.4337336101562</v>
      </c>
      <c r="I15" s="17"/>
      <c r="J15" s="17">
        <f t="shared" si="2"/>
        <v>119</v>
      </c>
    </row>
    <row r="16" spans="1:10" x14ac:dyDescent="0.25">
      <c r="A16">
        <v>11</v>
      </c>
      <c r="B16">
        <f t="shared" si="0"/>
        <v>1</v>
      </c>
      <c r="C16" s="6">
        <f t="shared" si="1"/>
        <v>-6820.6199112087625</v>
      </c>
      <c r="D16" s="4">
        <f>E16*Solcelleøkonomi!$D$15/100</f>
        <v>2633.3509503537066</v>
      </c>
      <c r="E16" s="4">
        <f t="shared" si="3"/>
        <v>52667.01900707413</v>
      </c>
      <c r="F16" s="4">
        <f t="shared" si="4"/>
        <v>-4187.2689608550554</v>
      </c>
      <c r="G16" s="4">
        <f>(F16*-1)+(D16*(1-Solcelleøkonomi!D17/100))</f>
        <v>6162.282173620335</v>
      </c>
      <c r="H16" s="17">
        <f>(Solcelleøkonomi!$D$12*0.0014)+G16</f>
        <v>6281.282173620335</v>
      </c>
      <c r="I16" s="17"/>
      <c r="J16" s="17">
        <f t="shared" si="2"/>
        <v>119</v>
      </c>
    </row>
    <row r="17" spans="1:10" x14ac:dyDescent="0.25">
      <c r="A17">
        <v>12</v>
      </c>
      <c r="B17">
        <f t="shared" si="0"/>
        <v>1</v>
      </c>
      <c r="C17" s="6">
        <f t="shared" si="1"/>
        <v>-6820.6199112087625</v>
      </c>
      <c r="D17" s="4">
        <f>E17*Solcelleøkonomi!$D$15/100</f>
        <v>2423.9875023109535</v>
      </c>
      <c r="E17" s="4">
        <f t="shared" si="3"/>
        <v>48479.750046219073</v>
      </c>
      <c r="F17" s="4">
        <f t="shared" si="4"/>
        <v>-4396.632408897809</v>
      </c>
      <c r="G17" s="4">
        <f>(F17*-1)+(D17*(1-Solcelleøkonomi!D17/100))</f>
        <v>6214.6230356310243</v>
      </c>
      <c r="H17" s="17">
        <f>(Solcelleøkonomi!$D$12*0.0014)+G17</f>
        <v>6333.6230356310243</v>
      </c>
      <c r="I17" s="17"/>
      <c r="J17" s="17">
        <f t="shared" si="2"/>
        <v>119</v>
      </c>
    </row>
    <row r="18" spans="1:10" x14ac:dyDescent="0.25">
      <c r="A18">
        <v>13</v>
      </c>
      <c r="B18">
        <f t="shared" si="0"/>
        <v>1</v>
      </c>
      <c r="C18" s="6">
        <f t="shared" si="1"/>
        <v>-6820.6199112087625</v>
      </c>
      <c r="D18" s="4">
        <f>E18*Solcelleøkonomi!$D$15/100</f>
        <v>2204.1558818660633</v>
      </c>
      <c r="E18" s="4">
        <f t="shared" si="3"/>
        <v>44083.117637321266</v>
      </c>
      <c r="F18" s="4">
        <f t="shared" si="4"/>
        <v>-4616.4640293426992</v>
      </c>
      <c r="G18" s="4">
        <f>(F18*-1)+(D18*(1-Solcelleøkonomi!D17/100))</f>
        <v>6269.5809407422466</v>
      </c>
      <c r="H18" s="17">
        <f>(Solcelleøkonomi!$D$12*0.0014)+G18</f>
        <v>6388.5809407422466</v>
      </c>
      <c r="I18" s="17"/>
      <c r="J18" s="17">
        <f t="shared" si="2"/>
        <v>119</v>
      </c>
    </row>
    <row r="19" spans="1:10" x14ac:dyDescent="0.25">
      <c r="A19">
        <v>14</v>
      </c>
      <c r="B19">
        <f t="shared" si="0"/>
        <v>1</v>
      </c>
      <c r="C19" s="6">
        <f t="shared" si="1"/>
        <v>-6820.6199112087625</v>
      </c>
      <c r="D19" s="4">
        <f>E19*Solcelleøkonomi!$D$15/100</f>
        <v>1973.3326803989285</v>
      </c>
      <c r="E19" s="4">
        <f t="shared" si="3"/>
        <v>39466.653607978566</v>
      </c>
      <c r="F19" s="4">
        <f t="shared" si="4"/>
        <v>-4847.287230809834</v>
      </c>
      <c r="G19" s="4">
        <f>(F19*-1)+(D19*(1-Solcelleøkonomi!D17/100))</f>
        <v>6327.2867411090301</v>
      </c>
      <c r="H19" s="17">
        <f>(Solcelleøkonomi!$D$12*0.0014)+G19</f>
        <v>6446.2867411090301</v>
      </c>
      <c r="I19" s="17"/>
      <c r="J19" s="17">
        <f t="shared" si="2"/>
        <v>119</v>
      </c>
    </row>
    <row r="20" spans="1:10" x14ac:dyDescent="0.25">
      <c r="A20">
        <v>15</v>
      </c>
      <c r="B20">
        <f t="shared" si="0"/>
        <v>1</v>
      </c>
      <c r="C20" s="6">
        <f t="shared" si="1"/>
        <v>-6820.6199112087625</v>
      </c>
      <c r="D20" s="4">
        <f>E20*Solcelleøkonomi!$D$15/100</f>
        <v>1730.9683188584365</v>
      </c>
      <c r="E20" s="4">
        <f t="shared" si="3"/>
        <v>34619.366377168728</v>
      </c>
      <c r="F20" s="4">
        <f t="shared" si="4"/>
        <v>-5089.6515923503257</v>
      </c>
      <c r="G20" s="4">
        <f>(F20*-1)+(D20*(1-Solcelleøkonomi!D17/100))</f>
        <v>6387.8778314941528</v>
      </c>
      <c r="H20" s="17">
        <f>(Solcelleøkonomi!$D$12*0.0014)+G20</f>
        <v>6506.8778314941528</v>
      </c>
      <c r="I20" s="17"/>
      <c r="J20" s="17">
        <f t="shared" si="2"/>
        <v>119</v>
      </c>
    </row>
    <row r="21" spans="1:10" x14ac:dyDescent="0.25">
      <c r="A21">
        <v>16</v>
      </c>
      <c r="B21">
        <f t="shared" si="0"/>
        <v>1</v>
      </c>
      <c r="C21" s="6">
        <f t="shared" si="1"/>
        <v>-6820.6199112087625</v>
      </c>
      <c r="D21" s="4">
        <f>E21*Solcelleøkonomi!$D$15/100</f>
        <v>1476.4857392409203</v>
      </c>
      <c r="E21" s="4">
        <f t="shared" si="3"/>
        <v>29529.714784818403</v>
      </c>
      <c r="F21" s="4">
        <f t="shared" si="4"/>
        <v>-5344.1341719678421</v>
      </c>
      <c r="G21" s="4">
        <f>(F21*-1)+(D21*(1-Solcelleøkonomi!D17/100))</f>
        <v>6451.4984763985321</v>
      </c>
      <c r="H21" s="17">
        <f>(Solcelleøkonomi!$D$12*0.0014)+G21</f>
        <v>6570.4984763985321</v>
      </c>
      <c r="I21" s="17"/>
      <c r="J21" s="17">
        <f t="shared" si="2"/>
        <v>119</v>
      </c>
    </row>
    <row r="22" spans="1:10" x14ac:dyDescent="0.25">
      <c r="A22">
        <v>17</v>
      </c>
      <c r="B22">
        <f t="shared" si="0"/>
        <v>1</v>
      </c>
      <c r="C22" s="6">
        <f t="shared" si="1"/>
        <v>-6820.6199112087625</v>
      </c>
      <c r="D22" s="4">
        <f>E22*Solcelleøkonomi!$D$15/100</f>
        <v>1209.2790306425281</v>
      </c>
      <c r="E22" s="4">
        <f t="shared" si="3"/>
        <v>24185.580612850561</v>
      </c>
      <c r="F22" s="4">
        <f t="shared" si="4"/>
        <v>-5611.3408805662348</v>
      </c>
      <c r="G22" s="4">
        <f>(F22*-1)+(D22*(1-Solcelleøkonomi!D17/100))</f>
        <v>6518.3001535481308</v>
      </c>
      <c r="H22" s="17">
        <f>(Solcelleøkonomi!$D$12*0.0014)+G22</f>
        <v>6637.3001535481308</v>
      </c>
      <c r="I22" s="17"/>
      <c r="J22" s="17">
        <f t="shared" si="2"/>
        <v>119</v>
      </c>
    </row>
    <row r="23" spans="1:10" x14ac:dyDescent="0.25">
      <c r="A23">
        <v>18</v>
      </c>
      <c r="B23">
        <f t="shared" si="0"/>
        <v>1</v>
      </c>
      <c r="C23" s="6">
        <f t="shared" si="1"/>
        <v>-6820.6199112087625</v>
      </c>
      <c r="D23" s="4">
        <f>E23*Solcelleøkonomi!$D$15/100</f>
        <v>928.71198661421624</v>
      </c>
      <c r="E23" s="4">
        <f t="shared" si="3"/>
        <v>18574.239732284324</v>
      </c>
      <c r="F23" s="4">
        <f t="shared" si="4"/>
        <v>-5891.9079245945459</v>
      </c>
      <c r="G23" s="4">
        <f>(F23*-1)+(D23*(1-Solcelleøkonomi!D17/100))</f>
        <v>6588.4419145552083</v>
      </c>
      <c r="H23" s="17">
        <f>(Solcelleøkonomi!$D$12*0.0014)+G23</f>
        <v>6707.4419145552083</v>
      </c>
      <c r="I23" s="17"/>
      <c r="J23" s="17">
        <f t="shared" si="2"/>
        <v>119</v>
      </c>
    </row>
    <row r="24" spans="1:10" x14ac:dyDescent="0.25">
      <c r="A24">
        <v>19</v>
      </c>
      <c r="B24">
        <f t="shared" si="0"/>
        <v>1</v>
      </c>
      <c r="C24" s="6">
        <f t="shared" si="1"/>
        <v>-6820.6199112087625</v>
      </c>
      <c r="D24" s="4">
        <f>E24*Solcelleøkonomi!$D$15/100</f>
        <v>634.11659038448886</v>
      </c>
      <c r="E24" s="4">
        <f t="shared" si="3"/>
        <v>12682.331807689778</v>
      </c>
      <c r="F24" s="4">
        <f t="shared" si="4"/>
        <v>-6186.5033208242739</v>
      </c>
      <c r="G24" s="4">
        <f>(F24*-1)+(D24*(1-Solcelleøkonomi!D17/100))</f>
        <v>6662.0907636126403</v>
      </c>
      <c r="H24" s="17">
        <f>(Solcelleøkonomi!$D$12*0.0014)+G24</f>
        <v>6781.0907636126403</v>
      </c>
      <c r="I24" s="17"/>
      <c r="J24" s="17">
        <f t="shared" si="2"/>
        <v>119</v>
      </c>
    </row>
    <row r="25" spans="1:10" x14ac:dyDescent="0.25">
      <c r="A25">
        <v>20</v>
      </c>
      <c r="B25">
        <f t="shared" si="0"/>
        <v>1</v>
      </c>
      <c r="C25" s="6">
        <f t="shared" si="1"/>
        <v>-6820.6199112087625</v>
      </c>
      <c r="D25" s="4">
        <f>E25*Solcelleøkonomi!$D$15/100</f>
        <v>324.7914243432752</v>
      </c>
      <c r="E25" s="4">
        <f t="shared" si="3"/>
        <v>6495.8284868655037</v>
      </c>
      <c r="F25" s="4">
        <f t="shared" si="4"/>
        <v>-6495.8284868654873</v>
      </c>
      <c r="G25" s="4">
        <f>(F25*-1)+(D25*(1-Solcelleøkonomi!D17/100))</f>
        <v>6739.4220551229437</v>
      </c>
      <c r="H25" s="17">
        <f>(Solcelleøkonomi!$D$12*0.0014)+G25</f>
        <v>6858.4220551229437</v>
      </c>
      <c r="I25" s="17"/>
      <c r="J25" s="17">
        <f t="shared" si="2"/>
        <v>119</v>
      </c>
    </row>
    <row r="26" spans="1:10" x14ac:dyDescent="0.25">
      <c r="A26">
        <v>21</v>
      </c>
      <c r="B26">
        <f t="shared" si="0"/>
        <v>0</v>
      </c>
      <c r="C26" s="6">
        <f t="shared" si="1"/>
        <v>0</v>
      </c>
      <c r="D26" s="4">
        <f>E26*Solcelleøkonomi!$D$15/100</f>
        <v>8.1854523159563543E-13</v>
      </c>
      <c r="E26" s="4">
        <f t="shared" si="3"/>
        <v>1.6370904631912708E-11</v>
      </c>
      <c r="F26" s="4">
        <f t="shared" si="4"/>
        <v>8.1854523159563543E-13</v>
      </c>
      <c r="G26" s="4">
        <f>(F26*-1)+(D26*(1-Solcelleøkonomi!D17/100))</f>
        <v>-2.0463630789890883E-13</v>
      </c>
      <c r="H26" s="17">
        <f>(Solcelleøkonomi!$D$12*0.0014)+G26</f>
        <v>118.9999999999998</v>
      </c>
      <c r="I26" s="17"/>
      <c r="J26" s="17">
        <f t="shared" si="2"/>
        <v>119</v>
      </c>
    </row>
    <row r="27" spans="1:10" x14ac:dyDescent="0.25">
      <c r="A27">
        <v>22</v>
      </c>
      <c r="B27">
        <f t="shared" si="0"/>
        <v>0</v>
      </c>
      <c r="C27" s="6">
        <f t="shared" si="1"/>
        <v>0</v>
      </c>
      <c r="D27" s="4">
        <f>E27*Solcelleøkonomi!$D$15/100</f>
        <v>8.5947249317541714E-13</v>
      </c>
      <c r="E27" s="4">
        <f t="shared" si="3"/>
        <v>1.7189449863508342E-11</v>
      </c>
      <c r="F27" s="4">
        <f t="shared" si="4"/>
        <v>8.5947249317541714E-13</v>
      </c>
      <c r="G27" s="4">
        <f>(F27*-1)+(D27*(1-Solcelleøkonomi!D17/100))</f>
        <v>-2.1486812329385426E-13</v>
      </c>
      <c r="H27" s="17">
        <f>(Solcelleøkonomi!$D$12*0.0014)+G27</f>
        <v>118.99999999999979</v>
      </c>
      <c r="I27" s="17"/>
      <c r="J27" s="17">
        <f t="shared" si="2"/>
        <v>119</v>
      </c>
    </row>
    <row r="28" spans="1:10" x14ac:dyDescent="0.25">
      <c r="A28">
        <v>23</v>
      </c>
      <c r="B28">
        <f t="shared" si="0"/>
        <v>0</v>
      </c>
      <c r="C28" s="6">
        <f t="shared" si="1"/>
        <v>0</v>
      </c>
      <c r="D28" s="4">
        <f>E28*Solcelleøkonomi!$D$15/100</f>
        <v>9.0244611783418801E-13</v>
      </c>
      <c r="E28" s="4">
        <f t="shared" si="3"/>
        <v>1.804892235668376E-11</v>
      </c>
      <c r="F28" s="4">
        <f t="shared" si="4"/>
        <v>9.0244611783418801E-13</v>
      </c>
      <c r="G28" s="4">
        <f>(F28*-1)+(D28*(1-Solcelleøkonomi!D17/100))</f>
        <v>-2.2561152945854698E-13</v>
      </c>
      <c r="H28" s="17">
        <f>(Solcelleøkonomi!$D$12*0.0014)+G28</f>
        <v>118.99999999999977</v>
      </c>
      <c r="I28" s="17"/>
      <c r="J28" s="17">
        <f t="shared" si="2"/>
        <v>119</v>
      </c>
    </row>
    <row r="29" spans="1:10" x14ac:dyDescent="0.25">
      <c r="A29">
        <v>24</v>
      </c>
      <c r="B29">
        <f t="shared" si="0"/>
        <v>0</v>
      </c>
      <c r="C29" s="6">
        <f t="shared" si="1"/>
        <v>0</v>
      </c>
      <c r="D29" s="4">
        <f>E29*Solcelleøkonomi!$D$15/100</f>
        <v>9.4756842372589737E-13</v>
      </c>
      <c r="E29" s="4">
        <f t="shared" si="3"/>
        <v>1.8951368474517947E-11</v>
      </c>
      <c r="F29" s="4">
        <f t="shared" si="4"/>
        <v>9.4756842372589737E-13</v>
      </c>
      <c r="G29" s="4">
        <f>(F29*-1)+(D29*(1-Solcelleøkonomi!D17/100))</f>
        <v>-2.3689210593147429E-13</v>
      </c>
      <c r="H29" s="17">
        <f>(Solcelleøkonomi!$D$12*0.0014)+G29</f>
        <v>118.99999999999976</v>
      </c>
      <c r="I29" s="17"/>
      <c r="J29" s="17">
        <f t="shared" si="2"/>
        <v>119</v>
      </c>
    </row>
    <row r="30" spans="1:10" x14ac:dyDescent="0.25">
      <c r="A30">
        <v>25</v>
      </c>
      <c r="B30">
        <f t="shared" si="0"/>
        <v>0</v>
      </c>
      <c r="C30" s="6">
        <f t="shared" si="1"/>
        <v>0</v>
      </c>
      <c r="D30" s="4">
        <f>E30*Solcelleøkonomi!$D$15/100</f>
        <v>9.949468449121921E-13</v>
      </c>
      <c r="E30" s="4">
        <f t="shared" si="3"/>
        <v>1.9898936898243845E-11</v>
      </c>
      <c r="F30" s="4">
        <f t="shared" si="4"/>
        <v>9.949468449121921E-13</v>
      </c>
      <c r="G30" s="4">
        <f>(F30*-1)+(D30*(1-Solcelleøkonomi!D17/100))</f>
        <v>-2.4873671122804798E-13</v>
      </c>
      <c r="H30" s="17">
        <f>(Solcelleøkonomi!$D$12*0.0014)+G30</f>
        <v>118.99999999999974</v>
      </c>
      <c r="I30" s="17"/>
      <c r="J30" s="17">
        <f t="shared" si="2"/>
        <v>119</v>
      </c>
    </row>
    <row r="31" spans="1:10" x14ac:dyDescent="0.25">
      <c r="A31">
        <v>26</v>
      </c>
      <c r="B31">
        <f t="shared" si="0"/>
        <v>0</v>
      </c>
      <c r="C31" s="6">
        <f t="shared" si="1"/>
        <v>0</v>
      </c>
      <c r="D31" s="4">
        <f>E31*Solcelleøkonomi!$D$15/100</f>
        <v>1.0446941871578017E-12</v>
      </c>
      <c r="E31" s="4">
        <f t="shared" si="3"/>
        <v>2.0893883743156036E-11</v>
      </c>
      <c r="F31" s="4">
        <f t="shared" si="4"/>
        <v>1.0446941871578017E-12</v>
      </c>
      <c r="G31" s="4">
        <f>(F31*-1)+(D31*(1-Solcelleøkonomi!D17/100))</f>
        <v>-2.6117354678945044E-13</v>
      </c>
      <c r="H31" s="17">
        <f>(Solcelleøkonomi!$D$12*0.0014)+G31</f>
        <v>118.99999999999974</v>
      </c>
      <c r="I31" s="17"/>
      <c r="J31" s="17">
        <f t="shared" si="2"/>
        <v>119</v>
      </c>
    </row>
    <row r="32" spans="1:10" x14ac:dyDescent="0.25">
      <c r="A32">
        <v>27</v>
      </c>
      <c r="B32">
        <f t="shared" si="0"/>
        <v>0</v>
      </c>
      <c r="C32" s="6">
        <f t="shared" si="1"/>
        <v>0</v>
      </c>
      <c r="D32" s="4">
        <f>E32*Solcelleøkonomi!$D$15/100</f>
        <v>1.0969288965156917E-12</v>
      </c>
      <c r="E32" s="4">
        <f t="shared" si="3"/>
        <v>2.1938577930313837E-11</v>
      </c>
      <c r="F32" s="4">
        <f t="shared" si="4"/>
        <v>1.0969288965156917E-12</v>
      </c>
      <c r="G32" s="4">
        <f>(F32*-1)+(D32*(1-Solcelleøkonomi!D17/100))</f>
        <v>-2.7423222412892288E-13</v>
      </c>
      <c r="H32" s="17">
        <f>(Solcelleøkonomi!$D$12*0.0014)+G32</f>
        <v>118.99999999999973</v>
      </c>
      <c r="I32" s="17"/>
      <c r="J32" s="17">
        <f t="shared" si="2"/>
        <v>119</v>
      </c>
    </row>
    <row r="33" spans="1:10" x14ac:dyDescent="0.25">
      <c r="A33">
        <v>28</v>
      </c>
      <c r="B33">
        <f t="shared" si="0"/>
        <v>0</v>
      </c>
      <c r="C33" s="6">
        <f t="shared" si="1"/>
        <v>0</v>
      </c>
      <c r="D33" s="4">
        <f>E33*Solcelleøkonomi!$D$15/100</f>
        <v>1.1517753413414765E-12</v>
      </c>
      <c r="E33" s="4">
        <f t="shared" si="3"/>
        <v>2.3035506826829528E-11</v>
      </c>
      <c r="F33" s="4">
        <f t="shared" si="4"/>
        <v>1.1517753413414765E-12</v>
      </c>
      <c r="G33" s="4">
        <f>(F33*-1)+(D33*(1-Solcelleøkonomi!D17/100))</f>
        <v>-2.8794383533536919E-13</v>
      </c>
      <c r="H33" s="17">
        <f>(Solcelleøkonomi!$D$12*0.0014)+G33</f>
        <v>118.99999999999972</v>
      </c>
      <c r="I33" s="17"/>
      <c r="J33" s="17">
        <f t="shared" si="2"/>
        <v>119</v>
      </c>
    </row>
    <row r="34" spans="1:10" x14ac:dyDescent="0.25">
      <c r="A34">
        <v>29</v>
      </c>
      <c r="B34">
        <f t="shared" si="0"/>
        <v>0</v>
      </c>
      <c r="C34" s="6">
        <f t="shared" si="1"/>
        <v>0</v>
      </c>
      <c r="D34" s="4">
        <f>E34*Solcelleøkonomi!$D$15/100</f>
        <v>1.2093641084085502E-12</v>
      </c>
      <c r="E34" s="4">
        <f t="shared" si="3"/>
        <v>2.4187282168171005E-11</v>
      </c>
      <c r="F34" s="4">
        <f t="shared" si="4"/>
        <v>1.2093641084085502E-12</v>
      </c>
      <c r="G34" s="4">
        <f>(F34*-1)+(D34*(1-Solcelleøkonomi!D17/100))</f>
        <v>-3.0234102710213755E-13</v>
      </c>
      <c r="H34" s="17">
        <f>(Solcelleøkonomi!$D$12*0.0014)+G34</f>
        <v>118.9999999999997</v>
      </c>
      <c r="I34" s="17"/>
      <c r="J34" s="17">
        <f t="shared" si="2"/>
        <v>119</v>
      </c>
    </row>
    <row r="35" spans="1:10" ht="15.75" thickBot="1" x14ac:dyDescent="0.3">
      <c r="A35">
        <v>30</v>
      </c>
      <c r="B35">
        <f t="shared" si="0"/>
        <v>0</v>
      </c>
      <c r="C35" s="6">
        <f t="shared" si="1"/>
        <v>0</v>
      </c>
      <c r="D35" s="4">
        <f>E35*Solcelleøkonomi!$D$15/100</f>
        <v>1.2698323138289777E-12</v>
      </c>
      <c r="E35" s="8">
        <f t="shared" si="3"/>
        <v>2.5396646276579554E-11</v>
      </c>
      <c r="F35" s="8">
        <f t="shared" si="4"/>
        <v>1.2698323138289777E-12</v>
      </c>
      <c r="G35" s="4">
        <f>(F35*-1)+(D35*(1-Solcelleøkonomi!D17/100))</f>
        <v>-3.1745807845724443E-13</v>
      </c>
      <c r="H35" s="17">
        <f>(Solcelleøkonomi!$D$12*0.0014)+G35</f>
        <v>118.99999999999969</v>
      </c>
      <c r="I35" s="17"/>
      <c r="J35" s="17">
        <f t="shared" si="2"/>
        <v>119</v>
      </c>
    </row>
  </sheetData>
  <mergeCells count="1">
    <mergeCell ref="C1:G1"/>
  </mergeCells>
  <phoneticPr fontId="4" type="noConversion"/>
  <printOptions headings="1" gridLines="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vt:i4>
      </vt:variant>
      <vt:variant>
        <vt:lpstr>Navngivne områder</vt:lpstr>
      </vt:variant>
      <vt:variant>
        <vt:i4>3</vt:i4>
      </vt:variant>
    </vt:vector>
  </HeadingPairs>
  <TitlesOfParts>
    <vt:vector size="10" baseType="lpstr">
      <vt:lpstr>Introduktion</vt:lpstr>
      <vt:lpstr>Solcelleøkonomi</vt:lpstr>
      <vt:lpstr>Årlige El-udgifter</vt:lpstr>
      <vt:lpstr>Kwh Pris</vt:lpstr>
      <vt:lpstr>Investerings betragtning</vt:lpstr>
      <vt:lpstr>Beregninger</vt:lpstr>
      <vt:lpstr>Anuitet</vt:lpstr>
      <vt:lpstr>Beregninger!Udskriftsområde</vt:lpstr>
      <vt:lpstr>Solcelleøkonomi!Udskriftsområde</vt:lpstr>
      <vt:lpstr>Beregninger!Udskriftstitler</vt:lpstr>
    </vt:vector>
  </TitlesOfParts>
  <Company>Spar Nord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 Conradsen</dc:creator>
  <cp:lastModifiedBy>Sanne Trampedach</cp:lastModifiedBy>
  <cp:lastPrinted>2011-10-03T12:51:09Z</cp:lastPrinted>
  <dcterms:created xsi:type="dcterms:W3CDTF">2010-05-27T12:58:06Z</dcterms:created>
  <dcterms:modified xsi:type="dcterms:W3CDTF">2022-12-20T06:22:16Z</dcterms:modified>
</cp:coreProperties>
</file>