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61" yWindow="65476" windowWidth="19320" windowHeight="8040" activeTab="0"/>
  </bookViews>
  <sheets>
    <sheet name="Introduktion" sheetId="1" r:id="rId1"/>
    <sheet name="1a" sheetId="2" r:id="rId2"/>
    <sheet name="1b" sheetId="3" r:id="rId3"/>
    <sheet name="1c" sheetId="4" r:id="rId4"/>
    <sheet name="1d" sheetId="5" r:id="rId5"/>
    <sheet name="1e" sheetId="6" r:id="rId6"/>
    <sheet name="1f" sheetId="7" r:id="rId7"/>
    <sheet name="2" sheetId="8" r:id="rId8"/>
    <sheet name="3" sheetId="9" r:id="rId9"/>
    <sheet name="4" sheetId="10" r:id="rId10"/>
    <sheet name="5" sheetId="11" r:id="rId11"/>
    <sheet name="6" sheetId="12" r:id="rId12"/>
    <sheet name="7" sheetId="13" r:id="rId13"/>
    <sheet name="8" sheetId="14" r:id="rId14"/>
    <sheet name="Bevågenhed" sheetId="15" r:id="rId15"/>
    <sheet name="IPM-point" sheetId="16" r:id="rId16"/>
    <sheet name="Dataopsamling" sheetId="17" state="hidden" r:id="rId17"/>
  </sheets>
  <definedNames>
    <definedName name="_xlnm.Print_Area" localSheetId="1">'1a'!$B$7:$C$65</definedName>
    <definedName name="_xlnm.Print_Area" localSheetId="2">'1b'!$B$6:$D$27</definedName>
    <definedName name="_xlnm.Print_Area" localSheetId="3">'1c'!$B$6:$C$24</definedName>
    <definedName name="_xlnm.Print_Area" localSheetId="4">'1d'!$B$6:$C$22</definedName>
    <definedName name="_xlnm.Print_Area" localSheetId="5">'1e'!$B$6:$D$20</definedName>
    <definedName name="_xlnm.Print_Area" localSheetId="6">'1f'!$B$6:$C$40</definedName>
    <definedName name="_xlnm.Print_Area" localSheetId="7">'2'!$B$7:$C$33</definedName>
    <definedName name="_xlnm.Print_Area" localSheetId="8">'3'!$B$6:$C$61</definedName>
    <definedName name="_xlnm.Print_Area" localSheetId="9">'4'!$B$6:$C$34</definedName>
    <definedName name="_xlnm.Print_Area" localSheetId="10">'5'!$B$8:$B$16</definedName>
    <definedName name="_xlnm.Print_Area" localSheetId="11">'6'!$B$6:$C$36</definedName>
    <definedName name="_xlnm.Print_Area" localSheetId="12">'7'!$B$8:$C$16</definedName>
    <definedName name="_xlnm.Print_Area" localSheetId="13">'8'!$B$7:$C$21</definedName>
    <definedName name="_xlnm.Print_Area" localSheetId="14">'Bevågenhed'!$A$8:$L$78</definedName>
    <definedName name="_xlnm.Print_Area" localSheetId="0">'Introduktion'!$B$2:$B$11</definedName>
    <definedName name="_xlnm.Print_Area" localSheetId="15">'IPM-point'!$A$1:$E$50</definedName>
  </definedNames>
  <calcPr fullCalcOnLoad="1"/>
</workbook>
</file>

<file path=xl/comments1.xml><?xml version="1.0" encoding="utf-8"?>
<comments xmlns="http://schemas.openxmlformats.org/spreadsheetml/2006/main">
  <authors>
    <author>php</author>
  </authors>
  <commentList>
    <comment ref="B4" authorId="0">
      <text>
        <r>
          <rPr>
            <sz val="9"/>
            <rFont val="Tahoma"/>
            <family val="2"/>
          </rPr>
          <t>Ved røde trekanter kan du nogle steder få yderligere forklaring.</t>
        </r>
      </text>
    </comment>
  </commentList>
</comments>
</file>

<file path=xl/comments10.xml><?xml version="1.0" encoding="utf-8"?>
<comments xmlns="http://schemas.openxmlformats.org/spreadsheetml/2006/main">
  <authors>
    <author>Poul Henning Petersen</author>
    <author>php</author>
  </authors>
  <commentList>
    <comment ref="E7" authorId="0">
      <text>
        <r>
          <rPr>
            <sz val="8"/>
            <rFont val="Tahoma"/>
            <family val="2"/>
          </rPr>
          <t>Dette farvede område anvendes kun til data, der anvendes til at beregne IPM-point.</t>
        </r>
      </text>
    </comment>
    <comment ref="G38" authorId="1">
      <text>
        <r>
          <rPr>
            <b/>
            <sz val="9"/>
            <rFont val="Tahoma"/>
            <family val="2"/>
          </rPr>
          <t>Værdi 1 hvis der ikke er rækkeafgrøder, så nævner ikke står som 0.</t>
        </r>
      </text>
    </comment>
  </commentList>
</comments>
</file>

<file path=xl/comments11.xml><?xml version="1.0" encoding="utf-8"?>
<comments xmlns="http://schemas.openxmlformats.org/spreadsheetml/2006/main">
  <authors>
    <author>Poul Henning Petersen</author>
  </authors>
  <commentList>
    <comment ref="E10" authorId="0">
      <text>
        <r>
          <rPr>
            <sz val="8"/>
            <rFont val="Tahoma"/>
            <family val="2"/>
          </rPr>
          <t>Dette farvede område anvendes kun til data, der anvendes til at beregne IPM-point.</t>
        </r>
      </text>
    </comment>
  </commentList>
</comments>
</file>

<file path=xl/comments12.xml><?xml version="1.0" encoding="utf-8"?>
<comments xmlns="http://schemas.openxmlformats.org/spreadsheetml/2006/main">
  <authors>
    <author>Poul Henning Petersen</author>
  </authors>
  <commentList>
    <comment ref="E10" authorId="0">
      <text>
        <r>
          <rPr>
            <sz val="8"/>
            <rFont val="Tahoma"/>
            <family val="2"/>
          </rPr>
          <t>Dette farvede område anvendes kun til data, der anvendes til at beregne IPM-point.</t>
        </r>
      </text>
    </comment>
  </commentList>
</comments>
</file>

<file path=xl/comments13.xml><?xml version="1.0" encoding="utf-8"?>
<comments xmlns="http://schemas.openxmlformats.org/spreadsheetml/2006/main">
  <authors>
    <author>Poul Henning Petersen</author>
  </authors>
  <commentList>
    <comment ref="E9" authorId="0">
      <text>
        <r>
          <rPr>
            <sz val="8"/>
            <rFont val="Tahoma"/>
            <family val="2"/>
          </rPr>
          <t>Dette farvede område anvendes kun til data, der anvendes til at beregne IPM-point.</t>
        </r>
      </text>
    </comment>
  </commentList>
</comments>
</file>

<file path=xl/comments14.xml><?xml version="1.0" encoding="utf-8"?>
<comments xmlns="http://schemas.openxmlformats.org/spreadsheetml/2006/main">
  <authors>
    <author>Poul Henning Peterse</author>
  </authors>
  <commentList>
    <comment ref="F15" authorId="0">
      <text>
        <r>
          <rPr>
            <b/>
            <sz val="9"/>
            <rFont val="Tahoma"/>
            <family val="2"/>
          </rPr>
          <t xml:space="preserve">Loft på max point.
</t>
        </r>
      </text>
    </comment>
  </commentList>
</comments>
</file>

<file path=xl/comments15.xml><?xml version="1.0" encoding="utf-8"?>
<comments xmlns="http://schemas.openxmlformats.org/spreadsheetml/2006/main">
  <authors>
    <author>php</author>
  </authors>
  <commentList>
    <comment ref="B63" authorId="0">
      <text>
        <r>
          <rPr>
            <sz val="9"/>
            <rFont val="Tahoma"/>
            <family val="2"/>
          </rPr>
          <t>Se bort fra gold hejre, som opfører sig anderledes end de øvrige græsarter.</t>
        </r>
      </text>
    </comment>
  </commentList>
</comments>
</file>

<file path=xl/comments16.xml><?xml version="1.0" encoding="utf-8"?>
<comments xmlns="http://schemas.openxmlformats.org/spreadsheetml/2006/main">
  <authors>
    <author>Poul Henning Petersen</author>
    <author>php</author>
    <author>administrator</author>
  </authors>
  <commentList>
    <comment ref="E6" authorId="0">
      <text>
        <r>
          <rPr>
            <sz val="10"/>
            <rFont val="Tahoma"/>
            <family val="2"/>
          </rPr>
          <t>Antal mulige point er givet ud fra et fagligt skøn for den betydning et IPM-princip har med hensyn til at dyrke efter principperne for integreret plantebeskyttelse. Eksempelvis er det første princip med tilhørende underpunkter tildelt 40 af de 100 mulige point, idet sædskifte, valg af resistente sorter og andre forebyggende tiltag er meget centralt i integreret plantebeskyttelse.</t>
        </r>
      </text>
    </comment>
    <comment ref="D6" authorId="0">
      <text>
        <r>
          <rPr>
            <sz val="10"/>
            <rFont val="Tahoma"/>
            <family val="2"/>
          </rPr>
          <t>Point bliver overført til denne kolonne efterhånden som spørgsmålene bliver besvaret.</t>
        </r>
        <r>
          <rPr>
            <sz val="8"/>
            <rFont val="Tahoma"/>
            <family val="2"/>
          </rPr>
          <t xml:space="preserve">
</t>
        </r>
      </text>
    </comment>
    <comment ref="G6" authorId="0">
      <text>
        <r>
          <rPr>
            <sz val="8"/>
            <rFont val="Tahoma"/>
            <family val="2"/>
          </rPr>
          <t xml:space="preserve">Henvisning til faneblad, hvis du ønsker at gå tilbage til spørgsmålene.
</t>
        </r>
      </text>
    </comment>
    <comment ref="D23" authorId="1">
      <text>
        <r>
          <rPr>
            <b/>
            <sz val="10"/>
            <rFont val="Tahoma"/>
            <family val="2"/>
          </rPr>
          <t>Hele skalaen fra 0 til 100 kan komme i brug. 
Husk, at der i pointsystemet kun er givet point i forhold IPM-principperne, og ikke til en række andre driftsledelses- og miljømæssige forhold.
Et tal fra 50 til 85 vil være meget normalt.</t>
        </r>
      </text>
    </comment>
    <comment ref="D26" authorId="1">
      <text>
        <r>
          <rPr>
            <b/>
            <sz val="10"/>
            <rFont val="Tahoma"/>
            <family val="2"/>
          </rPr>
          <t>Forvent ikke at kunne få 100 point. Er tallet lavt, har du måske en række uudnyttede muligheder for at gøre din planteproduktion mere stabil og sikker og samtidig mindske afhængigheden af plantebeskyttelsesmidler.</t>
        </r>
      </text>
    </comment>
    <comment ref="D18" authorId="1">
      <text>
        <r>
          <rPr>
            <sz val="10"/>
            <rFont val="Tahoma"/>
            <family val="2"/>
          </rPr>
          <t>Har du ikke rækkeafgrøder, bliver dette punkt 'neutraliseret' ved at tildele max. point.</t>
        </r>
      </text>
    </comment>
    <comment ref="D19" authorId="2">
      <text>
        <r>
          <rPr>
            <sz val="8"/>
            <rFont val="Tahoma"/>
            <family val="2"/>
          </rPr>
          <t>Belastningsomfang er endnu ikke udviklet. Dette punkt skal ikke besvares.</t>
        </r>
      </text>
    </comment>
  </commentList>
</comments>
</file>

<file path=xl/comments17.xml><?xml version="1.0" encoding="utf-8"?>
<comments xmlns="http://schemas.openxmlformats.org/spreadsheetml/2006/main">
  <authors>
    <author>php</author>
  </authors>
  <commentList>
    <comment ref="DF1" authorId="0">
      <text>
        <r>
          <rPr>
            <b/>
            <sz val="9"/>
            <rFont val="Tahoma"/>
            <family val="2"/>
          </rPr>
          <t>php:</t>
        </r>
        <r>
          <rPr>
            <sz val="9"/>
            <rFont val="Tahoma"/>
            <family val="2"/>
          </rPr>
          <t xml:space="preserve">
11/11-2013 rettet fra =+'3'!D45
 til =+'3'!D44</t>
        </r>
      </text>
    </comment>
    <comment ref="CX1" authorId="0">
      <text>
        <r>
          <rPr>
            <b/>
            <sz val="9"/>
            <rFont val="Tahoma"/>
            <family val="2"/>
          </rPr>
          <t>php:</t>
        </r>
        <r>
          <rPr>
            <sz val="9"/>
            <rFont val="Tahoma"/>
            <family val="2"/>
          </rPr>
          <t xml:space="preserve">
Indsat 11/11-2013
</t>
        </r>
      </text>
    </comment>
    <comment ref="CY1" authorId="0">
      <text>
        <r>
          <rPr>
            <b/>
            <sz val="9"/>
            <rFont val="Tahoma"/>
            <family val="2"/>
          </rPr>
          <t>php:</t>
        </r>
        <r>
          <rPr>
            <sz val="9"/>
            <rFont val="Tahoma"/>
            <family val="2"/>
          </rPr>
          <t xml:space="preserve">
Indsat 11/11-2013
</t>
        </r>
      </text>
    </comment>
    <comment ref="CZ1" authorId="0">
      <text>
        <r>
          <rPr>
            <b/>
            <sz val="9"/>
            <rFont val="Tahoma"/>
            <family val="2"/>
          </rPr>
          <t>php:</t>
        </r>
        <r>
          <rPr>
            <sz val="9"/>
            <rFont val="Tahoma"/>
            <family val="2"/>
          </rPr>
          <t xml:space="preserve">
Indsat 11/11-2013
</t>
        </r>
      </text>
    </comment>
  </commentList>
</comments>
</file>

<file path=xl/comments2.xml><?xml version="1.0" encoding="utf-8"?>
<comments xmlns="http://schemas.openxmlformats.org/spreadsheetml/2006/main">
  <authors>
    <author>Poul Henning Petersen</author>
    <author>php</author>
    <author>administrator</author>
    <author>Poul Henning Peterse</author>
  </authors>
  <commentList>
    <comment ref="B10" authorId="0">
      <text>
        <r>
          <rPr>
            <sz val="10"/>
            <rFont val="Tahoma"/>
            <family val="2"/>
          </rPr>
          <t xml:space="preserve">Se bort fra mindre arealer, som ikke indgår i det almindelige sædskifte.
Hvis årets arealfordeling er unormal (f.eks. på grund af ekstrem nedbør), bør du angive den 'normale' afgrødefordeling. 
Hvis du kun har en afgrøde pr. år, og sædskifte gennemføres ved at skifte afgrøde fra år til år, skal du angive de afgrøder der indgår i en rotation. Dyrker du f.eks. skiftevis vinterbyg, vinterraps, vinterhvede, vinterhved og vårbyg på 50 ha, kan du skrive 10 ha vinterbyg, 10 ha vinterraps, 20 ha vinterhvede og 10 ha vårbyg.
Dyrker du afgrøder, der ikke er nævnt, så angiv arealet samlet i de to nederste linier.
</t>
        </r>
        <r>
          <rPr>
            <sz val="8"/>
            <rFont val="Tahoma"/>
            <family val="2"/>
          </rPr>
          <t xml:space="preserve">
</t>
        </r>
      </text>
    </comment>
    <comment ref="E10" authorId="0">
      <text>
        <r>
          <rPr>
            <sz val="8"/>
            <rFont val="Tahoma"/>
            <family val="2"/>
          </rPr>
          <t xml:space="preserve">Dette farvede område anvendes kun til data, der anvendes til at beregne IPM-point.
</t>
        </r>
      </text>
    </comment>
    <comment ref="E40" authorId="0">
      <text>
        <r>
          <rPr>
            <sz val="8"/>
            <rFont val="Tahoma"/>
            <family val="2"/>
          </rPr>
          <t>Dette farvede område anvendes kun til data, der anvendes til at beregne IPM-point.</t>
        </r>
      </text>
    </comment>
    <comment ref="F40" authorId="1">
      <text>
        <r>
          <rPr>
            <sz val="9"/>
            <rFont val="Tahoma"/>
            <family val="2"/>
          </rPr>
          <t>Total score afhænger af sædskifte, jordtype og jordbehandlingsmetode.</t>
        </r>
      </text>
    </comment>
    <comment ref="G93" authorId="1">
      <text>
        <r>
          <rPr>
            <sz val="9"/>
            <rFont val="Tahoma"/>
            <family val="2"/>
          </rPr>
          <t xml:space="preserve">Max point afhænger af afgrødesammensætning, således at point for afgrøder, som ikke dyrkes fraregnes.
</t>
        </r>
      </text>
    </comment>
    <comment ref="F93" authorId="1">
      <text>
        <r>
          <rPr>
            <sz val="9"/>
            <rFont val="Tahoma"/>
            <family val="2"/>
          </rPr>
          <t>Antal opnået point anvendes til beregning af en relativ score for IPM-princippet.
Mellemregningen af en score sker for at undgå, at brugere, som ønsker at gå ind bag tallene, forveksler pointgivningen under de enkelte principper med de egentlige IPM-point, som gives efter en 0-100 skala og overføres til forsiden. Alle scoreberegninger sker med relative pointtal, som gør det nemt at vægte forskellige tiltag.</t>
        </r>
      </text>
    </comment>
    <comment ref="F10" authorId="2">
      <text>
        <r>
          <rPr>
            <sz val="8"/>
            <rFont val="Tahoma"/>
            <family val="2"/>
          </rPr>
          <t>Afgrøder som særligt opformerer vinteranuelle ukrudtsarter.</t>
        </r>
      </text>
    </comment>
    <comment ref="G10" authorId="2">
      <text>
        <r>
          <rPr>
            <sz val="8"/>
            <rFont val="Tahoma"/>
            <family val="2"/>
          </rPr>
          <t>Afgrøder som sanerer vinteranuelle ukrudtsarter.</t>
        </r>
      </text>
    </comment>
    <comment ref="I10" authorId="2">
      <text>
        <r>
          <rPr>
            <sz val="8"/>
            <rFont val="Tahoma"/>
            <family val="2"/>
          </rPr>
          <t>Afgrøder der sanerer goldfodsyge og visse andre sygdomme samt vinteranuelle ukrudtsarter (vårsåede). Giver ofte også mulighed for at anvende flere forskellige virkemekanismer ved ukrudtsbekæmpelse.</t>
        </r>
      </text>
    </comment>
    <comment ref="J10" authorId="3">
      <text>
        <r>
          <rPr>
            <sz val="9"/>
            <rFont val="Tahoma"/>
            <family val="2"/>
          </rPr>
          <t>Areal anvendes til at beregne andel af vårafgrøder.</t>
        </r>
      </text>
    </comment>
    <comment ref="K10" authorId="3">
      <text>
        <r>
          <rPr>
            <b/>
            <sz val="9"/>
            <rFont val="Tahoma"/>
            <family val="2"/>
          </rPr>
          <t>Areal anvendes til at beregne andel af vårafgrøder.</t>
        </r>
      </text>
    </comment>
    <comment ref="C11" authorId="1">
      <text>
        <r>
          <rPr>
            <sz val="9"/>
            <rFont val="Tahoma"/>
            <family val="2"/>
          </rPr>
          <t xml:space="preserve">Indtast areal. Det behøver ikke at være helt nøjagtigt.
</t>
        </r>
      </text>
    </comment>
    <comment ref="B7" authorId="1">
      <text>
        <r>
          <rPr>
            <sz val="9"/>
            <rFont val="Tahoma"/>
            <family val="2"/>
          </rPr>
          <t xml:space="preserve">Et sundt sædskifte forebygger problemer med ukrudt og visse skadevoldere. Ud fra afgrødefordeling bliver der beregnet point, som er et fingerpeg om, hvor meget dit sædskifte medvirker til at forebygge disse problemer. </t>
        </r>
      </text>
    </comment>
    <comment ref="B36" authorId="1">
      <text>
        <r>
          <rPr>
            <sz val="9"/>
            <rFont val="Tahoma"/>
            <family val="2"/>
          </rPr>
          <t>Ved reduceret jordbearbejdning forstås alle 'systemer', hvor der ikke pløjes.</t>
        </r>
      </text>
    </comment>
  </commentList>
</comments>
</file>

<file path=xl/comments3.xml><?xml version="1.0" encoding="utf-8"?>
<comments xmlns="http://schemas.openxmlformats.org/spreadsheetml/2006/main">
  <authors>
    <author>Poul Henning Petersen</author>
    <author>php</author>
    <author>Poul Henning Peterse</author>
  </authors>
  <commentList>
    <comment ref="F7" authorId="0">
      <text>
        <r>
          <rPr>
            <sz val="8"/>
            <rFont val="Tahoma"/>
            <family val="2"/>
          </rPr>
          <t>Dette farvede område anvendes kun til data, der anvendes til at beregne IPM-point.</t>
        </r>
      </text>
    </comment>
    <comment ref="B12" authorId="1">
      <text>
        <r>
          <rPr>
            <sz val="10"/>
            <rFont val="Tahoma"/>
            <family val="2"/>
          </rPr>
          <t>Hvordan du generelt gør for alle afgrøder, men ikke nødvendigvis altid.</t>
        </r>
      </text>
    </comment>
    <comment ref="B18" authorId="1">
      <text>
        <r>
          <rPr>
            <sz val="10"/>
            <rFont val="Tahoma"/>
            <family val="2"/>
          </rPr>
          <t>Beregning eller tabelopslag</t>
        </r>
        <r>
          <rPr>
            <b/>
            <sz val="10"/>
            <rFont val="Tahoma"/>
            <family val="2"/>
          </rPr>
          <t>.</t>
        </r>
      </text>
    </comment>
    <comment ref="C9" authorId="2">
      <text>
        <r>
          <rPr>
            <b/>
            <sz val="10"/>
            <rFont val="Tahoma"/>
            <family val="2"/>
          </rPr>
          <t xml:space="preserve">Skala
</t>
        </r>
        <r>
          <rPr>
            <sz val="10"/>
            <rFont val="Tahoma"/>
            <family val="2"/>
          </rPr>
          <t>10=perfekt såbed, hvor det forventede plantetal spirer ensartet frem på hele arealet og færdselsforhold har været gode, så der ikke er strukturskade
9=meget fint såbed, men der kan være enkelte pletter med uens fremspiring, ingen strukturskade
5=rimeligt såbed med god fremspiring, men nogen strukturskade
3=uensartet fremspiring og synlig strukturskade
0=dårligt såbed, hvor fremspiringen er meget ringe og strukturskade medfører dårlig vækst</t>
        </r>
      </text>
    </comment>
  </commentList>
</comments>
</file>

<file path=xl/comments4.xml><?xml version="1.0" encoding="utf-8"?>
<comments xmlns="http://schemas.openxmlformats.org/spreadsheetml/2006/main">
  <authors>
    <author>Poul Henning Petersen</author>
    <author>Poul Henning Peterse</author>
  </authors>
  <commentList>
    <comment ref="E8" authorId="0">
      <text>
        <r>
          <rPr>
            <sz val="8"/>
            <rFont val="Tahoma"/>
            <family val="2"/>
          </rPr>
          <t>Dette farvede område anvendes kun til data, der anvendes til at beregne IPM-point.</t>
        </r>
      </text>
    </comment>
    <comment ref="E15" authorId="1">
      <text>
        <r>
          <rPr>
            <b/>
            <sz val="9"/>
            <rFont val="Tahoma"/>
            <family val="2"/>
          </rPr>
          <t xml:space="preserve">Loft over max. Point.
</t>
        </r>
      </text>
    </comment>
  </commentList>
</comments>
</file>

<file path=xl/comments5.xml><?xml version="1.0" encoding="utf-8"?>
<comments xmlns="http://schemas.openxmlformats.org/spreadsheetml/2006/main">
  <authors>
    <author>Poul Henning Petersen</author>
    <author>php</author>
    <author>Poul Henning Peterse</author>
  </authors>
  <commentList>
    <comment ref="E8" authorId="0">
      <text>
        <r>
          <rPr>
            <sz val="8"/>
            <rFont val="Tahoma"/>
            <family val="2"/>
          </rPr>
          <t>Dette farvede område anvendes kun til data, der anvendes til at beregne IPM-point.</t>
        </r>
      </text>
    </comment>
    <comment ref="G12" authorId="1">
      <text>
        <r>
          <rPr>
            <sz val="9"/>
            <rFont val="Tahoma"/>
            <family val="2"/>
          </rPr>
          <t>Antal point i de blå felter kan i udviklingsfasen justeres i forhold til vurdering af de enekelte tiltags vigtighed.</t>
        </r>
      </text>
    </comment>
    <comment ref="G11" authorId="2">
      <text>
        <r>
          <rPr>
            <b/>
            <sz val="9"/>
            <rFont val="Tahoma"/>
            <family val="2"/>
          </rPr>
          <t>Tæller kun hvis der er vintersæd</t>
        </r>
      </text>
    </comment>
    <comment ref="G18" authorId="2">
      <text>
        <r>
          <rPr>
            <b/>
            <sz val="9"/>
            <rFont val="Tahoma"/>
            <family val="2"/>
          </rPr>
          <t>Tæller kun hvis der er vårsæd.</t>
        </r>
      </text>
    </comment>
  </commentList>
</comments>
</file>

<file path=xl/comments6.xml><?xml version="1.0" encoding="utf-8"?>
<comments xmlns="http://schemas.openxmlformats.org/spreadsheetml/2006/main">
  <authors>
    <author>Poul Henning Peterse</author>
  </authors>
  <commentList>
    <comment ref="C10" authorId="0">
      <text>
        <r>
          <rPr>
            <sz val="10"/>
            <rFont val="Tahoma"/>
            <family val="2"/>
          </rPr>
          <t>Du kan være blandt de få i den gunstige situation, at der ikke er behov for at være opmærksom på spredning af problemukrudt med høstmaskiner. Pointsystemet vil i det tilfælde ikke give maksimumpoint på dette punkt. Glæd dig over det.</t>
        </r>
      </text>
    </comment>
  </commentList>
</comments>
</file>

<file path=xl/comments7.xml><?xml version="1.0" encoding="utf-8"?>
<comments xmlns="http://schemas.openxmlformats.org/spreadsheetml/2006/main">
  <authors>
    <author>Poul Henning Petersen</author>
    <author>Poul Henning Peterse</author>
  </authors>
  <commentList>
    <comment ref="E8" authorId="0">
      <text>
        <r>
          <rPr>
            <sz val="8"/>
            <rFont val="Tahoma"/>
            <family val="2"/>
          </rPr>
          <t>Dette farvede område anvendes kun til data, der anvendes til at beregne IPM-point.</t>
        </r>
      </text>
    </comment>
    <comment ref="B9" authorId="1">
      <text>
        <r>
          <rPr>
            <sz val="10"/>
            <rFont val="Tahoma"/>
            <family val="2"/>
          </rPr>
          <t xml:space="preserve">Det er ikke påvist, at nyttedyr i markkanterne kan nedsætte behovet for at bekæmpe skadedyr, men blomstrende planter har en positiv effekt på forekomsten af mange insekter, og dermed også mængde af føde for fugle. </t>
        </r>
      </text>
    </comment>
    <comment ref="B14" authorId="1">
      <text>
        <r>
          <rPr>
            <sz val="10"/>
            <rFont val="Tahoma"/>
            <family val="2"/>
          </rPr>
          <t xml:space="preserve">Etablering af læhegn, pleje af hegn og markskel, udsåning af blomstrende urteblandinger, sprøjtefri randzoner, etablering af insektvolde mv. kan fremme plante-, insekt- og fugleliv i og omkring markerne. Naturpleje er som sådan ikke en direkte del af IPM-principperne. Vi har valgt, at man skal kunne få nogle point for en indsats, som alt andet lige vil beskytte og øge mængden af nytteorganismer. At beskytte og øge mængden af nytteorganismer i og omkring det dyrkede areal er nemlig et IPM-princip. </t>
        </r>
      </text>
    </comment>
    <comment ref="B35" authorId="1">
      <text>
        <r>
          <rPr>
            <sz val="9"/>
            <rFont val="Tahoma"/>
            <family val="2"/>
          </rPr>
          <t>Den mest anvendte sprøjte, hvis der er flere sprøjter på bedriften.</t>
        </r>
      </text>
    </comment>
  </commentList>
</comments>
</file>

<file path=xl/comments8.xml><?xml version="1.0" encoding="utf-8"?>
<comments xmlns="http://schemas.openxmlformats.org/spreadsheetml/2006/main">
  <authors>
    <author>Poul Henning Petersen</author>
    <author>Poul Henning Peterse</author>
  </authors>
  <commentList>
    <comment ref="E10" authorId="0">
      <text>
        <r>
          <rPr>
            <sz val="8"/>
            <rFont val="Tahoma"/>
            <family val="2"/>
          </rPr>
          <t>Dette farvede område anvendes kun til data, der anvendes til at beregne IPM-point.</t>
        </r>
      </text>
    </comment>
    <comment ref="B11" authorId="1">
      <text>
        <r>
          <rPr>
            <sz val="10"/>
            <rFont val="Tahoma"/>
            <family val="2"/>
          </rPr>
          <t>Vælg det svar du synes passer bedst, selv om flere af svarene godt kan være aktuelle.</t>
        </r>
      </text>
    </comment>
    <comment ref="H11" authorId="1">
      <text>
        <r>
          <rPr>
            <b/>
            <sz val="9"/>
            <rFont val="Tahoma"/>
            <family val="2"/>
          </rPr>
          <t>Hvis-test indsat for at undgå for mange point ved angivelse af flere svar.</t>
        </r>
      </text>
    </comment>
  </commentList>
</comments>
</file>

<file path=xl/comments9.xml><?xml version="1.0" encoding="utf-8"?>
<comments xmlns="http://schemas.openxmlformats.org/spreadsheetml/2006/main">
  <authors>
    <author>Poul Henning Petersen</author>
  </authors>
  <commentList>
    <comment ref="E10" authorId="0">
      <text>
        <r>
          <rPr>
            <sz val="8"/>
            <rFont val="Tahoma"/>
            <family val="2"/>
          </rPr>
          <t>Dette farvede område anvendes kun til data, der anvendes til at beregne IPM-point.</t>
        </r>
      </text>
    </comment>
  </commentList>
</comments>
</file>

<file path=xl/sharedStrings.xml><?xml version="1.0" encoding="utf-8"?>
<sst xmlns="http://schemas.openxmlformats.org/spreadsheetml/2006/main" count="522" uniqueCount="381">
  <si>
    <t>IPM-point for 8 principper for integreret plantebeskyttelse (IPM)</t>
  </si>
  <si>
    <t>Max point</t>
  </si>
  <si>
    <t>Afgrøder i sædskiftet:</t>
  </si>
  <si>
    <t>Vinterhvede</t>
  </si>
  <si>
    <t>Vinterbyg</t>
  </si>
  <si>
    <t>Triticale</t>
  </si>
  <si>
    <t>Vinterrug</t>
  </si>
  <si>
    <t>Vinterraps</t>
  </si>
  <si>
    <t>Roer</t>
  </si>
  <si>
    <t>Kartofler</t>
  </si>
  <si>
    <t>Frøgræs</t>
  </si>
  <si>
    <t>Vårbyg</t>
  </si>
  <si>
    <t>Havre</t>
  </si>
  <si>
    <t>Vårhvede</t>
  </si>
  <si>
    <t>Ærter</t>
  </si>
  <si>
    <t>Majs i omdrift</t>
  </si>
  <si>
    <t>Antal afgrøder</t>
  </si>
  <si>
    <t>Vår- og vinterafgrøder</t>
  </si>
  <si>
    <t>Bredbladede og/eller ikke kornafgrøder</t>
  </si>
  <si>
    <t>To afgrøder</t>
  </si>
  <si>
    <t>Tre eller flere afgrøder</t>
  </si>
  <si>
    <t>Max. point</t>
  </si>
  <si>
    <t>I alt for forebyggelse og sædskifte:</t>
  </si>
  <si>
    <t>Score</t>
  </si>
  <si>
    <t>Ha vinterafgrøder</t>
  </si>
  <si>
    <t>Opnået
point</t>
  </si>
  <si>
    <t>Opnået antal IPM-point</t>
  </si>
  <si>
    <t>Mulige IPM-point</t>
  </si>
  <si>
    <t>De 8 IPM-principper</t>
  </si>
  <si>
    <t>Mere end 50 pct.</t>
  </si>
  <si>
    <t>Alsidighed i afgrødesammensætning</t>
  </si>
  <si>
    <t>1.</t>
  </si>
  <si>
    <t>2.</t>
  </si>
  <si>
    <t>3.</t>
  </si>
  <si>
    <t>4.</t>
  </si>
  <si>
    <t>5.</t>
  </si>
  <si>
    <t>6.</t>
  </si>
  <si>
    <t>7.</t>
  </si>
  <si>
    <t>8.</t>
  </si>
  <si>
    <t>Vi forebygger og bekæmper ukrudt, sygdomme og skadedyr ved flere metoder, navnlig ved:</t>
  </si>
  <si>
    <t>Vi kender og følger skadevolderne i afgrøderne, bruger varslinger og prognoser og søger råd hos kvalificerede og uvildige rådgivere.</t>
  </si>
  <si>
    <t>Vi inddrager varslinger, prognoser og skadetærskler, når vi tager beslutninger om plantebeskyttelse. Desuden tager vi hensyn til regionale og klimatiske forhold.</t>
  </si>
  <si>
    <t>Vi vælger ikke-kemiske metoder (biologiske, mekaniske, termiske mv.) mod skadevolderne, hvis metoderne er tilstrækkeligt effektive og rentable.</t>
  </si>
  <si>
    <t>Vi vælger de pesticider, som passer bedst til opgaven og giver mindst risiko for bivirkninger på menneskers sundhed, på andre organismer i naturen og på miljøet.</t>
  </si>
  <si>
    <t>Vi vælger den korrekte dosering, så vidt muligt nedsatte doseringer. Vi behandler så få gange som muligt, pletsprøjter mv. Samtidig forebygger vi, at skadevolderne udvikler resistens mod midlerne.</t>
  </si>
  <si>
    <t>Er der risiko for resistensdannelse, forsøger vi at erstatte nogle af behandlingerne med midler med andre virkningsmekanismer, eller vi blander midler med forskellige virkningsmekanismer.</t>
  </si>
  <si>
    <t>Vi følger op på, hvordan indsatsen har virket. Udgangspunktet er en løbende overvågning af skadevolderne i marken og sprøjtejournalen. </t>
  </si>
  <si>
    <t xml:space="preserve">IPM-princip </t>
  </si>
  <si>
    <t>Vi forebygger og bekæmper ukrudt, sygdomme og skadedyr ved flere metoder, navnlig ved: at have et sundt sædskifte</t>
  </si>
  <si>
    <t>Andre flerårige afgrøder i omdrift (kløverfrø, energiafgrøder mv.)</t>
  </si>
  <si>
    <t>Total antal point, score og max point</t>
  </si>
  <si>
    <t>Pointgivning for ejendommens sædskifte beregnes på basis af arealet med ejendommens afgrøder:</t>
  </si>
  <si>
    <t>Vi forebygger og bekæmper ukrudt, sygdomme og skadedyr ved flere metoder, navnlig ved:  at bruge hensigtsmæssige dyrkningsmetoder (god og rettidig etablering, passende udsædsmængde mv.)</t>
  </si>
  <si>
    <t>Vi forebygger og bekæmper ukrudt, sygdomme og skadedyr ved flere metoder, navnlig ved:   at bruge resistente eller tolerante sorter, når det er muligt og bruge udsædsmateriale af høj kvalitet</t>
  </si>
  <si>
    <t>Vi forebygger og bekæmper ukrudt, sygdomme og skadedyr ved flere metoder, navnlig ved:  at gødske, kalke, vande og afvande i passende omfang</t>
  </si>
  <si>
    <t>Vi forebygger og bekæmper ukrudt, sygdomme og skadedyr ved flere metoder, navnlig ved:   at forebygge spredning af ukrudt, sygdomme og skadedyr (omhyggelig rengøring af maskiner mv.)</t>
  </si>
  <si>
    <t>Vi forebygger og bekæmper ukrudt, sygdomme og skadedyr ved flere metoder, navnlig ved: at beskytte og øge mængden af nytteorganismer i og omkring det dyrkede areal</t>
  </si>
  <si>
    <t>Hvis du har Danfoilsprøjte:</t>
  </si>
  <si>
    <t>IPM-princip</t>
  </si>
  <si>
    <t>Mere end 20 pct.</t>
  </si>
  <si>
    <t>Mere end 30 pct.</t>
  </si>
  <si>
    <t>Mere end 40 pct.</t>
  </si>
  <si>
    <t>Kornafgrøder</t>
  </si>
  <si>
    <t>Areal i alt</t>
  </si>
  <si>
    <t>Praksis</t>
  </si>
  <si>
    <t>Majs på samme areal hvert år</t>
  </si>
  <si>
    <t>Vinterafgrøder korn og raps</t>
  </si>
  <si>
    <t>Andre vårafgrøder (spinat, vårraps, hør osv)</t>
  </si>
  <si>
    <t>Flerårige</t>
  </si>
  <si>
    <t>Vårafgrøder</t>
  </si>
  <si>
    <t>Ha vårafgrøde</t>
  </si>
  <si>
    <t>Ha flerårige</t>
  </si>
  <si>
    <t>Bredbladede og ikke kornafgrøder i omdrift</t>
  </si>
  <si>
    <t>Andel af majs i omdrift</t>
  </si>
  <si>
    <t>Andel af vårafgrøder (excl. kontinuert majs) ifht samlet areal med vinter- og vårafgrøder, procent</t>
  </si>
  <si>
    <t>Pløjning</t>
  </si>
  <si>
    <t>Pløjning og reduceret jordbearbejdning</t>
  </si>
  <si>
    <t>Reduceret jordbearbejdning</t>
  </si>
  <si>
    <t>Karakter</t>
  </si>
  <si>
    <t>Max. karakter</t>
  </si>
  <si>
    <t>Sum karakterer og score</t>
  </si>
  <si>
    <t>Antal IPM-point</t>
  </si>
  <si>
    <t>Sandjord</t>
  </si>
  <si>
    <t>Lerjord</t>
  </si>
  <si>
    <t>Alle 8 principper</t>
  </si>
  <si>
    <t>Forebyggelse, behovsbestemt bekæmpelse, prognose og varslinger, evaluering af indsats</t>
  </si>
  <si>
    <t>Samlet antal point for anvendelse af principperne for integreret plantebeskyttelse</t>
  </si>
  <si>
    <t>Enårig rapgræs</t>
  </si>
  <si>
    <t>Agerrævehale</t>
  </si>
  <si>
    <t>Rajgræs</t>
  </si>
  <si>
    <t>Agerstedmoder</t>
  </si>
  <si>
    <t>Fuglegræs</t>
  </si>
  <si>
    <t>Kamille</t>
  </si>
  <si>
    <t>Græsukrudt</t>
  </si>
  <si>
    <t>Tokimbladet ukrudt</t>
  </si>
  <si>
    <t>Svampesygdomme i korn</t>
  </si>
  <si>
    <t>Skadedyr i korn</t>
  </si>
  <si>
    <t>Agersnegle</t>
  </si>
  <si>
    <t>Goldfodsyge</t>
  </si>
  <si>
    <t xml:space="preserve">Græsukrudt </t>
  </si>
  <si>
    <t>Express og Ally ST</t>
  </si>
  <si>
    <t>Topik og Agil</t>
  </si>
  <si>
    <t>Express og Oxitril</t>
  </si>
  <si>
    <t>Karate WG og Biscaya</t>
  </si>
  <si>
    <t>Lexus og Broadway</t>
  </si>
  <si>
    <t>At afsætte et sprøjtevindue</t>
  </si>
  <si>
    <t>Folicur og Opus</t>
  </si>
  <si>
    <t>Hvilke af følgende rutiner svarer bedst til din praksis</t>
  </si>
  <si>
    <t>Bevågenhed rettet mod at inddrage IPM-principperne i dyrkningspraksis.</t>
  </si>
  <si>
    <t>Bevågenhed</t>
  </si>
  <si>
    <t>Antal ha</t>
  </si>
  <si>
    <t>I alt</t>
  </si>
  <si>
    <t>Hvor meget fokus har du på at undgå gødskning, sprøjtning og jordbearbejdning af markkanterne, så de ikke gror til med gråbynke, gold hejre, burresnerre og andet markukrudt, som kan spredes sig ind i marken.</t>
  </si>
  <si>
    <t>Andel af kløvergræs, procent</t>
  </si>
  <si>
    <t>Skala 0-10</t>
  </si>
  <si>
    <t>Hvis du har vårbyg, havre eller vårhvede</t>
  </si>
  <si>
    <t>Hvis du har vintersæd</t>
  </si>
  <si>
    <t>Hvilken praksis har du for gødskning?</t>
  </si>
  <si>
    <t>Hvilke udsagn passer bedst for din bedrift?</t>
  </si>
  <si>
    <t>Hvilket udsagn beskriver bedst dine beslutninger om dosering, hvor meget der skal sprøjtes, samt din strategi for at undgå, at der udvikles resistens hos skadevolderne?</t>
  </si>
  <si>
    <t>Hvilket udsagn beskriver bedst dit valg af bekæmpelsesmidler?</t>
  </si>
  <si>
    <t>Ejendom</t>
  </si>
  <si>
    <t>1a</t>
  </si>
  <si>
    <t>1b</t>
  </si>
  <si>
    <t>1c</t>
  </si>
  <si>
    <t>1d</t>
  </si>
  <si>
    <t>1e</t>
  </si>
  <si>
    <t>1f</t>
  </si>
  <si>
    <t>Vihvede</t>
  </si>
  <si>
    <t>Vibyg</t>
  </si>
  <si>
    <t>Tri</t>
  </si>
  <si>
    <t>Virug</t>
  </si>
  <si>
    <t>Viraps</t>
  </si>
  <si>
    <t>Vårhv</t>
  </si>
  <si>
    <t>Ært</t>
  </si>
  <si>
    <t>Majs om</t>
  </si>
  <si>
    <t>Majs uo</t>
  </si>
  <si>
    <t>Græs</t>
  </si>
  <si>
    <t>Kart</t>
  </si>
  <si>
    <t>Frø</t>
  </si>
  <si>
    <t>Andre våraf</t>
  </si>
  <si>
    <t>Andre flerår</t>
  </si>
  <si>
    <t>Jordty</t>
  </si>
  <si>
    <t>Jordbe</t>
  </si>
  <si>
    <t>Rapsfri</t>
  </si>
  <si>
    <t>Karfri</t>
  </si>
  <si>
    <t>Roefri</t>
  </si>
  <si>
    <t>Såbed</t>
  </si>
  <si>
    <t>Hv hyp</t>
  </si>
  <si>
    <r>
      <t xml:space="preserve">Hvis du har </t>
    </r>
    <r>
      <rPr>
        <b/>
        <sz val="10"/>
        <color indexed="8"/>
        <rFont val="Arial"/>
        <family val="2"/>
      </rPr>
      <t>vintersæd</t>
    </r>
    <r>
      <rPr>
        <sz val="10"/>
        <color indexed="8"/>
        <rFont val="Arial"/>
        <family val="2"/>
      </rPr>
      <t>:</t>
    </r>
  </si>
  <si>
    <t>Hvilke udsagn beskriver bedst, hvordan du følger skadevoldere og træffer beslutninger om eventuel bekæmpelse?</t>
  </si>
  <si>
    <t>Gå videre til næste side, hvis du ikke har rækkeafgrøder</t>
  </si>
  <si>
    <t>Hvilket udsagn beskriver bedst din anvendelse af mekanisk ukrudtsbekæmpelse?</t>
  </si>
  <si>
    <t>Hvordan mener du tidlig såning af vintersæd påvirker disse skadevoldere:</t>
  </si>
  <si>
    <t>Hvordan mener du øget udsædsmængde påvirker:</t>
  </si>
  <si>
    <t>Lejesæd</t>
  </si>
  <si>
    <t>Hvordan mener du reduceret jordbearbejdning påvirker:</t>
  </si>
  <si>
    <t>Hvordan mener du stubbearbejdning efter høst påvirker:</t>
  </si>
  <si>
    <t>Spildfrø af frøgræs og græsukrudtsfrø</t>
  </si>
  <si>
    <t>Frø af tokimbladet ukrudt</t>
  </si>
  <si>
    <t>Hvis du har vinterraps, majs, roer og/eller kartofler</t>
  </si>
  <si>
    <t>Til sidst nogle spørgsmål om din bevågenhed over for forskellige elementer i IPM.</t>
  </si>
  <si>
    <t>At der både er vinter- og vårafgrøder i sædskiftet for at forebygge opformering af græsukrudt</t>
  </si>
  <si>
    <t>Meget stor</t>
  </si>
  <si>
    <t>Stor</t>
  </si>
  <si>
    <t>Middel</t>
  </si>
  <si>
    <t>Lille</t>
  </si>
  <si>
    <t>Meget lille</t>
  </si>
  <si>
    <t>Hvor stor betydning tillægger du følgende:</t>
  </si>
  <si>
    <t>Meget godt</t>
  </si>
  <si>
    <t>Godt</t>
  </si>
  <si>
    <t>Hvor godt er dit kendskab til de vigtigste ukrudtsarter og skadevoldere:</t>
  </si>
  <si>
    <t>At udarbejde og/eller opdatere ukrudtskort</t>
  </si>
  <si>
    <t>At kende bekæmpelsestærksler for svampe og skadedyr</t>
  </si>
  <si>
    <t>Græs/kløvergræs i omdrift (ekskl. vedvarende græs)</t>
  </si>
  <si>
    <t>Bevågenhed rettet mod at inddrage IPM-principperne i dyrkningspraksis</t>
  </si>
  <si>
    <t>Et sundt sædskifte</t>
  </si>
  <si>
    <t>Hensigtsmæssige dyrkningsmetoder</t>
  </si>
  <si>
    <t>Brug af resistente sorter og udsæd af høj kvalitet</t>
  </si>
  <si>
    <t>Gødske, kalke, vande og afvande i passende omfang</t>
  </si>
  <si>
    <t xml:space="preserve"> Forebygge spredning af ukrudt, sygdomme og skadedyr</t>
  </si>
  <si>
    <t>Beskytte og øge mængden af nytteorganismer i og omkring marken</t>
  </si>
  <si>
    <t>Følge skadevolderne, bruge varslinger og prognoser og søge råd hos uvildige rådgivere</t>
  </si>
  <si>
    <t>Vælge ikke-kemiske metoder, hvor det er en mulighed</t>
  </si>
  <si>
    <t>Vælge de pesticider, som passer bedst til opgaven og giver mindst risiko for bivirkninger på menneskers sundhed, på andre organismer i naturen og på miljøet</t>
  </si>
  <si>
    <t>Vælge den korrekte dosering, behandle så få gange som muligt, pletsprøjte mv., og forebygge pesticidresistens</t>
  </si>
  <si>
    <t>Anvende midler med forskellige virkningsmekanismer</t>
  </si>
  <si>
    <t>Løbende opfølgning på indsatsen i og efter vækstsæsonen</t>
  </si>
  <si>
    <t>Hvor godt lykkes det normalt at etablere et godt jævnt og ensartet såbed, så afgrøden kommer hurtigt og ensartet fra start:
Brug skalaen med pile: 10 = perfekt såbed og 0 = dårligt såbed</t>
  </si>
  <si>
    <t>Angiv en karakter fra 0-10.
Brug skalaen med pile: 10 = meget fokus, 0 = ingen fokus</t>
  </si>
  <si>
    <t>Hvilke udsagn beskriver bedst, hvordan du inddrager varslinger, prognoser, vejrforhold og skadetærskler i dine beslutninger om eventuel bekæmpelse?</t>
  </si>
  <si>
    <t>Hvilke udsagn beskriver bedst dine forholdsregler med hensyn til at undgå resistens over for bekæmpelsesmidlerne hos ukrudt, svampe og skadedyr (evt. flere svar).</t>
  </si>
  <si>
    <t>Inddrage varslinger, prognoser og skadetærskler, samt tage hensyn til regionale og klimatiske forhold i beslutninger om plantebeskyttelse</t>
  </si>
  <si>
    <t>- at have et sundt sædskifte</t>
  </si>
  <si>
    <t>- at bruge hensigtsmæssige dyrkningsmetoder (god og rettidig etablering, passende udsædsmængde mv.)</t>
  </si>
  <si>
    <t>- at bruge resistente eller tolerante sorter, når det er muligt og bruge udsædsmateriale af høj kvalitet</t>
  </si>
  <si>
    <t>- at gødske, kalke, vande og afvande i passende omfang</t>
  </si>
  <si>
    <t>- at forebygge spredning af ukrudt, sygdomme og skadedyr (omhyggelig rengøring af maskiner mv.)</t>
  </si>
  <si>
    <t>- at beskytte og øge mængden af nytteorganismer i og omkring det dyrkede areal</t>
  </si>
  <si>
    <t>At udnytte udsat såtid for vintersæd når der er behov for at forebygge ukrudt og svampedomme</t>
  </si>
  <si>
    <t>Udsæd</t>
  </si>
  <si>
    <t>Udsæd mgd</t>
  </si>
  <si>
    <t>1 års først</t>
  </si>
  <si>
    <t>Udb</t>
  </si>
  <si>
    <t>Sortsinfo</t>
  </si>
  <si>
    <t>Modtagelighed</t>
  </si>
  <si>
    <t>Ikke op i sortsv</t>
  </si>
  <si>
    <t>Uds indk</t>
  </si>
  <si>
    <t>Planlagt</t>
  </si>
  <si>
    <t>Renset</t>
  </si>
  <si>
    <t>Analyse sometider</t>
  </si>
  <si>
    <t>Analyse altid</t>
  </si>
  <si>
    <t>Delt gød</t>
  </si>
  <si>
    <t>Placering</t>
  </si>
  <si>
    <t>Trykluft</t>
  </si>
  <si>
    <t>Avner fjernes</t>
  </si>
  <si>
    <t>Ukrudtsområde</t>
  </si>
  <si>
    <t>Maskinstation</t>
  </si>
  <si>
    <t>Fokus</t>
  </si>
  <si>
    <t>Ej tiltag</t>
  </si>
  <si>
    <t>Kanter</t>
  </si>
  <si>
    <t>Kantdyse</t>
  </si>
  <si>
    <t>Afst krav</t>
  </si>
  <si>
    <t>Skånsommme midler</t>
  </si>
  <si>
    <t>Læhegn</t>
  </si>
  <si>
    <t>Sprøjtfri zone</t>
  </si>
  <si>
    <t>Lavdrift</t>
  </si>
  <si>
    <t>Injektion</t>
  </si>
  <si>
    <t>Fladsp</t>
  </si>
  <si>
    <t>Tryk</t>
  </si>
  <si>
    <t>Hastighed</t>
  </si>
  <si>
    <t>Bomh</t>
  </si>
  <si>
    <t>Luftass</t>
  </si>
  <si>
    <t>Danfoil lav bom</t>
  </si>
  <si>
    <t>Lufthastighed</t>
  </si>
  <si>
    <t>Ingen</t>
  </si>
  <si>
    <t>Kalibrering</t>
  </si>
  <si>
    <t>Reg ukrudt</t>
  </si>
  <si>
    <t>Regnet</t>
  </si>
  <si>
    <t>Markbesøg</t>
  </si>
  <si>
    <t>Bek tærsk</t>
  </si>
  <si>
    <t>Nyhedsbreve</t>
  </si>
  <si>
    <t>Sprøjteplan</t>
  </si>
  <si>
    <t>Rådgiver</t>
  </si>
  <si>
    <t>Skadetærskel</t>
  </si>
  <si>
    <t>Lus samtidig</t>
  </si>
  <si>
    <t>Undlad ved få lus</t>
  </si>
  <si>
    <t>Kun skadetræskel</t>
  </si>
  <si>
    <t>Tæl nedbør</t>
  </si>
  <si>
    <t>Fane 3</t>
  </si>
  <si>
    <t>Fane 2</t>
  </si>
  <si>
    <t>Fane 1f</t>
  </si>
  <si>
    <t>Fane 1e</t>
  </si>
  <si>
    <t>IPMpoint</t>
  </si>
  <si>
    <t>Fane 1a</t>
  </si>
  <si>
    <t>Fane 1b</t>
  </si>
  <si>
    <t>Fane 1c</t>
  </si>
  <si>
    <t>Fane 1d</t>
  </si>
  <si>
    <t>PVO</t>
  </si>
  <si>
    <t>Plus lusemiddel</t>
  </si>
  <si>
    <t>Faste spr</t>
  </si>
  <si>
    <t>Vejrprog</t>
  </si>
  <si>
    <t>Fast løsn</t>
  </si>
  <si>
    <t>Fast 2 spr</t>
  </si>
  <si>
    <t>PVO-rug</t>
  </si>
  <si>
    <t>2 forebyg spr</t>
  </si>
  <si>
    <t>Vejrprog byg</t>
  </si>
  <si>
    <t>PVO vårbyg</t>
  </si>
  <si>
    <t>1-2 faste</t>
  </si>
  <si>
    <t>Skadetærskel lus</t>
  </si>
  <si>
    <t>Rapsjordl varsel</t>
  </si>
  <si>
    <t>Fangbakker</t>
  </si>
  <si>
    <t>Skimmel fast</t>
  </si>
  <si>
    <t>Skimmelstyring</t>
  </si>
  <si>
    <t>Risikoperioder</t>
  </si>
  <si>
    <t>Cikader</t>
  </si>
  <si>
    <t>Fane 4</t>
  </si>
  <si>
    <t>Rækkeafg</t>
  </si>
  <si>
    <t>Radrens raps</t>
  </si>
  <si>
    <t>Radrens majs</t>
  </si>
  <si>
    <t>Radrens roer</t>
  </si>
  <si>
    <t>Mek bek kartof</t>
  </si>
  <si>
    <t>Fane 5</t>
  </si>
  <si>
    <t>Pointsystem</t>
  </si>
  <si>
    <t>Fane 6</t>
  </si>
  <si>
    <t>Dosis ukrudt</t>
  </si>
  <si>
    <t>Dosis svampe</t>
  </si>
  <si>
    <t>Dosis skadedyr</t>
  </si>
  <si>
    <t>Vækstreg</t>
  </si>
  <si>
    <t>Fane 7</t>
  </si>
  <si>
    <t>Blandinger</t>
  </si>
  <si>
    <t>Visæd efterår/forår</t>
  </si>
  <si>
    <t>Ej forebygge</t>
  </si>
  <si>
    <t>Kender etiket</t>
  </si>
  <si>
    <t>Fane 8</t>
  </si>
  <si>
    <t>Går marker igennem</t>
  </si>
  <si>
    <t>Ukrudtskort</t>
  </si>
  <si>
    <t>Husker</t>
  </si>
  <si>
    <t>Sprøjtejournal</t>
  </si>
  <si>
    <t>Sprøjtevindue</t>
  </si>
  <si>
    <t>Vi og vår</t>
  </si>
  <si>
    <t>Såtid</t>
  </si>
  <si>
    <t>Bektærskler</t>
  </si>
  <si>
    <t>Tokim</t>
  </si>
  <si>
    <t>Sv korn</t>
  </si>
  <si>
    <t>Sv andre</t>
  </si>
  <si>
    <t>Skadedyr korn</t>
  </si>
  <si>
    <t>Skadedyr andre</t>
  </si>
  <si>
    <t>Rævehale</t>
  </si>
  <si>
    <t>Enårig</t>
  </si>
  <si>
    <t>Stedmoder</t>
  </si>
  <si>
    <t>Radrense</t>
  </si>
  <si>
    <t>Tidl så græs</t>
  </si>
  <si>
    <t>Tidl så tokim</t>
  </si>
  <si>
    <t>Tidl så gold</t>
  </si>
  <si>
    <t>Tidl så snegle</t>
  </si>
  <si>
    <t>Udsæd græs</t>
  </si>
  <si>
    <t>Udsæd tokim</t>
  </si>
  <si>
    <t>Udsæd gold</t>
  </si>
  <si>
    <t>Udsæd leje</t>
  </si>
  <si>
    <t>Red jord græs</t>
  </si>
  <si>
    <t>Red jord tokim</t>
  </si>
  <si>
    <t>Red jord gold</t>
  </si>
  <si>
    <t>Red jord snegle</t>
  </si>
  <si>
    <t>Stub græs</t>
  </si>
  <si>
    <t>Stub tokim</t>
  </si>
  <si>
    <t>Stub snegle</t>
  </si>
  <si>
    <t>Stub rødsot</t>
  </si>
  <si>
    <t>Exp/Ally</t>
  </si>
  <si>
    <t>Top/Agil</t>
  </si>
  <si>
    <t>Exp/Oxi</t>
  </si>
  <si>
    <t>Fol/Opus</t>
  </si>
  <si>
    <t>Karte/Bisca</t>
  </si>
  <si>
    <t>Lex/Broadway</t>
  </si>
  <si>
    <t>0-20 pct. vårafgrøder</t>
  </si>
  <si>
    <t>Klik på fane nederst på skærmen:</t>
  </si>
  <si>
    <t>Klik på fane 1c</t>
  </si>
  <si>
    <t>Klik på fane 1b</t>
  </si>
  <si>
    <t>Klik på fane 1d</t>
  </si>
  <si>
    <t>Klik på fane 1e</t>
  </si>
  <si>
    <t>Klik på fane 1f</t>
  </si>
  <si>
    <t>Klik på fane 2</t>
  </si>
  <si>
    <t>Klik på fane 3</t>
  </si>
  <si>
    <t>Klik på fane 4</t>
  </si>
  <si>
    <t>Klik på fane 5</t>
  </si>
  <si>
    <t>Klik på fane 6</t>
  </si>
  <si>
    <t>Klik på fane 7</t>
  </si>
  <si>
    <t>Klik på fane 8</t>
  </si>
  <si>
    <t>Klik på 'Bevågenhed'</t>
  </si>
  <si>
    <t>Tak for besvarelsen. Se dine IPM-point i fane 'IPM-point'</t>
  </si>
  <si>
    <t>Klik på fane 'IPM-point'</t>
  </si>
  <si>
    <t>Hold musen ved den røde trekant for at få yderligere forklaring.</t>
  </si>
  <si>
    <t>Konsekvent rapsjordlopper</t>
  </si>
  <si>
    <t>IPM på din bedrift</t>
  </si>
  <si>
    <t>Læs eventuelt mere om IPM-pointsystemet nedenfor. 
Ønsker du at gå direkte i gang med at besvare spørgsmål, klikker du på fanerne nederst på skærmen. På sidste fane 'IPM-point' ser du resultatet for din bedrift.</t>
  </si>
  <si>
    <t>Formålet er
• at analysere om rådgivning øger deltagernes kendskab til IPM-principperne
• at give inspiration til arbejdet med at optimere dyrkningen, ved at du får udpeget eventuelle svage led i dit dyrkningssystem.</t>
  </si>
  <si>
    <t>Du kan selv udfylde skemaet, eller kan gøre det sammen med din konsulent. Det kan være en god anledning til at diskutere forskellige problemstillinger og indsatsområder.</t>
  </si>
  <si>
    <t>Klik på fane '1a' nederst på skærmen.</t>
  </si>
  <si>
    <t>Angiv areal med de forskellige afgrøder på bedriften</t>
  </si>
  <si>
    <t>At følge med i registreringnettet for svampe og skadedyr</t>
  </si>
  <si>
    <t xml:space="preserve">Jo flere point du har opnået, jo mere har du udnyttet mulighederne for 
- at forebygge problemer med ukrudt og skadevoldere, 
- at gennemføre behovsbestemt bekæmpelse, der tager hensyn til miljø og sundhed, samt 
- at forebygge udvikling af resistens over for bekæmpelsesmidlerne. 
</t>
  </si>
  <si>
    <t>Angiv herunder jordtype mv.</t>
  </si>
  <si>
    <t>Mere end 35 pct.</t>
  </si>
  <si>
    <t>Mere end 25 pct.</t>
  </si>
  <si>
    <t>Mere end 15 pct.</t>
  </si>
  <si>
    <t>Mere end 5 pct.</t>
  </si>
  <si>
    <t>Hvis du anvender egen udsæd af korn</t>
  </si>
  <si>
    <t>Angreb af agersnegle</t>
  </si>
  <si>
    <t>Angreb af goldfodsyge</t>
  </si>
  <si>
    <t>Angreb af havrerødsot</t>
  </si>
  <si>
    <t>Hvis du har almindelig marksprøjte:</t>
  </si>
  <si>
    <t>Svampesygdomme i andre afgrøder end korn</t>
  </si>
  <si>
    <t>Skadedyr i andre afgrøder end korn</t>
  </si>
  <si>
    <t xml:space="preserve">Videncentret for Landbrug har udviklet pointsystemet i samspil med rådgivere, IPM-demonstrationsværter og IPM-styregruppen. Der er hentet inspiration fra en række udenlandske IPM-pointsystemer. 
</t>
  </si>
  <si>
    <t xml:space="preserve">Kort om pointsystemet
• Pointgivningen er relativ, så der altid maksimalt kan opnås 100 point. Det er meget vanskeligt at komme op på 100 point.
• Antal point kan sammenlignes f.eks. før og efter et rådgivningsforløb. 
• Sammenligning mellem bedrifter bør ske med forsigtighed, da mange af de driftsmæssige forudsætninger kan være forskellige. 
• Pointsystemet er ikke indrettet til at klare meget atypiske forhold, eksempelvis majs i monokultur som eneste afgrøde. Hvis du ikke kører et fast sædskifte, eller afgrødefordelingen det enkelte år ikke repræsenterer sædskiftet, kan du alligevel bruge skemaet ved at angive et skøn for, hvordan afgrødefordelingen ville være, hvis afgrøderne roterer rundt på almindelig vis.
• Pointgivningen er ikke udtryk for en økonomisk analyse. Ofte vil det betale sig at have mange point, men afsætningsforhold, foderforsyning, miljøregulering mv er der ikke taget hensyn til.
</t>
  </si>
  <si>
    <t>Udsæd fra avl</t>
  </si>
  <si>
    <t>Stub gold</t>
  </si>
  <si>
    <t>Hvor stor mener du, at risikoen er for udvikling af resistens over for ukrudtsmidler for disse ukrudtsarter (på landsplan):</t>
  </si>
  <si>
    <t>Angiv om følgende midler har samme eller forskellig virkemekanisme (i forhold til resistens)</t>
  </si>
  <si>
    <t>Pointsystemet bliver udviklet af Miljøstyrelsen. Spørgsmål er derfor ikke aktuelle endnu. Der er afkrydset, så der bliver givet maksimum point.
Undlad svar og gå videre.</t>
  </si>
  <si>
    <t>PVO Triticale</t>
  </si>
</sst>
</file>

<file path=xl/styles.xml><?xml version="1.0" encoding="utf-8"?>
<styleSheet xmlns="http://schemas.openxmlformats.org/spreadsheetml/2006/main">
  <numFmts count="1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00"/>
    <numFmt numFmtId="171" formatCode="0.0"/>
    <numFmt numFmtId="172" formatCode="0.000000"/>
  </numFmts>
  <fonts count="74">
    <font>
      <sz val="11"/>
      <color theme="1"/>
      <name val="Calibri"/>
      <family val="2"/>
    </font>
    <font>
      <sz val="11"/>
      <color indexed="8"/>
      <name val="Calibri"/>
      <family val="2"/>
    </font>
    <font>
      <sz val="8"/>
      <name val="Tahoma"/>
      <family val="2"/>
    </font>
    <font>
      <sz val="9"/>
      <name val="Tahoma"/>
      <family val="2"/>
    </font>
    <font>
      <sz val="10"/>
      <color indexed="8"/>
      <name val="Arial"/>
      <family val="2"/>
    </font>
    <font>
      <sz val="10"/>
      <name val="Arial"/>
      <family val="2"/>
    </font>
    <font>
      <b/>
      <sz val="9"/>
      <name val="Tahoma"/>
      <family val="2"/>
    </font>
    <font>
      <b/>
      <sz val="10"/>
      <color indexed="8"/>
      <name val="Arial"/>
      <family val="2"/>
    </font>
    <font>
      <b/>
      <sz val="10"/>
      <name val="Arial"/>
      <family val="2"/>
    </font>
    <font>
      <b/>
      <i/>
      <sz val="10"/>
      <name val="Arial"/>
      <family val="2"/>
    </font>
    <font>
      <sz val="9"/>
      <name val="Arial"/>
      <family val="2"/>
    </font>
    <font>
      <b/>
      <sz val="11"/>
      <name val="Arial"/>
      <family val="2"/>
    </font>
    <font>
      <sz val="10"/>
      <name val="Tahoma"/>
      <family val="2"/>
    </font>
    <font>
      <b/>
      <sz val="10"/>
      <name val="Tahom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name val="Calibri"/>
      <family val="2"/>
    </font>
    <font>
      <b/>
      <sz val="14"/>
      <color indexed="8"/>
      <name val="Arial"/>
      <family val="2"/>
    </font>
    <font>
      <i/>
      <sz val="10"/>
      <color indexed="8"/>
      <name val="Arial"/>
      <family val="2"/>
    </font>
    <font>
      <sz val="10"/>
      <color indexed="8"/>
      <name val="Calibri"/>
      <family val="2"/>
    </font>
    <font>
      <sz val="9"/>
      <color indexed="8"/>
      <name val="Arial"/>
      <family val="2"/>
    </font>
    <font>
      <b/>
      <sz val="11"/>
      <color indexed="8"/>
      <name val="Arial"/>
      <family val="2"/>
    </font>
    <font>
      <b/>
      <sz val="12"/>
      <color indexed="8"/>
      <name val="Arial"/>
      <family val="2"/>
    </font>
    <font>
      <b/>
      <i/>
      <sz val="10"/>
      <color indexed="8"/>
      <name val="Arial"/>
      <family val="2"/>
    </font>
    <font>
      <sz val="12"/>
      <color indexed="8"/>
      <name val="Arial"/>
      <family val="2"/>
    </font>
    <font>
      <sz val="14"/>
      <color indexed="8"/>
      <name val="Arial"/>
      <family val="2"/>
    </font>
    <font>
      <b/>
      <sz val="13.5"/>
      <color indexed="8"/>
      <name val="Arial"/>
      <family val="2"/>
    </font>
    <font>
      <sz val="11"/>
      <color indexed="8"/>
      <name val="Arial"/>
      <family val="0"/>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Arial"/>
      <family val="2"/>
    </font>
    <font>
      <b/>
      <sz val="14"/>
      <color theme="1"/>
      <name val="Arial"/>
      <family val="2"/>
    </font>
    <font>
      <i/>
      <sz val="10"/>
      <color theme="1"/>
      <name val="Arial"/>
      <family val="2"/>
    </font>
    <font>
      <sz val="10"/>
      <color rgb="FF000000"/>
      <name val="Arial"/>
      <family val="2"/>
    </font>
    <font>
      <i/>
      <sz val="10"/>
      <color rgb="FF000000"/>
      <name val="Arial"/>
      <family val="2"/>
    </font>
    <font>
      <b/>
      <sz val="10"/>
      <color rgb="FF000000"/>
      <name val="Arial"/>
      <family val="2"/>
    </font>
    <font>
      <b/>
      <sz val="10"/>
      <color theme="1"/>
      <name val="Arial"/>
      <family val="2"/>
    </font>
    <font>
      <sz val="10"/>
      <color theme="1"/>
      <name val="Calibri"/>
      <family val="2"/>
    </font>
    <font>
      <sz val="9"/>
      <color theme="1"/>
      <name val="Arial"/>
      <family val="2"/>
    </font>
    <font>
      <b/>
      <sz val="11"/>
      <color theme="1"/>
      <name val="Arial"/>
      <family val="2"/>
    </font>
    <font>
      <b/>
      <sz val="12"/>
      <color theme="1"/>
      <name val="Arial"/>
      <family val="2"/>
    </font>
    <font>
      <b/>
      <i/>
      <sz val="10"/>
      <color theme="1"/>
      <name val="Arial"/>
      <family val="2"/>
    </font>
    <font>
      <sz val="12"/>
      <color theme="1"/>
      <name val="Arial"/>
      <family val="2"/>
    </font>
    <font>
      <sz val="14"/>
      <color theme="1"/>
      <name val="Arial"/>
      <family val="2"/>
    </font>
    <font>
      <b/>
      <sz val="13.5"/>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FFC000"/>
        <bgColor indexed="64"/>
      </patternFill>
    </fill>
    <fill>
      <patternFill patternType="solid">
        <fgColor rgb="FF0070C0"/>
        <bgColor indexed="64"/>
      </patternFill>
    </fill>
    <fill>
      <patternFill patternType="solid">
        <fgColor theme="0"/>
        <bgColor indexed="64"/>
      </patternFill>
    </fill>
    <fill>
      <patternFill patternType="solid">
        <fgColor rgb="FFB9FFC3"/>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right/>
      <top style="thin"/>
      <bottom style="thin"/>
    </border>
    <border>
      <left/>
      <right style="thin"/>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
      <left/>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n">
        <color theme="0" tint="-0.24997000396251678"/>
      </bottom>
    </border>
    <border>
      <left style="thin"/>
      <right/>
      <top/>
      <bottom style="thin"/>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0" fillId="20" borderId="1" applyNumberFormat="0" applyFont="0" applyAlignment="0" applyProtection="0"/>
    <xf numFmtId="0" fontId="44" fillId="21" borderId="2"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3" applyNumberFormat="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50" fillId="21"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7">
    <xf numFmtId="0" fontId="0" fillId="0" borderId="0" xfId="0" applyFont="1" applyAlignment="1">
      <alignment/>
    </xf>
    <xf numFmtId="0" fontId="58" fillId="0" borderId="0" xfId="0" applyFont="1" applyAlignment="1">
      <alignment/>
    </xf>
    <xf numFmtId="0" fontId="58" fillId="0" borderId="0" xfId="0" applyFont="1" applyFill="1" applyAlignment="1">
      <alignment/>
    </xf>
    <xf numFmtId="170" fontId="58" fillId="0" borderId="0" xfId="0" applyNumberFormat="1" applyFont="1" applyAlignment="1">
      <alignment/>
    </xf>
    <xf numFmtId="0" fontId="5" fillId="0" borderId="0" xfId="0" applyFont="1" applyAlignment="1">
      <alignment/>
    </xf>
    <xf numFmtId="0" fontId="5" fillId="33" borderId="10" xfId="0" applyFont="1" applyFill="1" applyBorder="1" applyAlignment="1">
      <alignment wrapText="1"/>
    </xf>
    <xf numFmtId="0" fontId="58" fillId="0" borderId="0" xfId="0" applyFont="1" applyAlignment="1">
      <alignment/>
    </xf>
    <xf numFmtId="0" fontId="58" fillId="0" borderId="0" xfId="0" applyFont="1" applyFill="1" applyBorder="1" applyAlignment="1">
      <alignment/>
    </xf>
    <xf numFmtId="0" fontId="58" fillId="33" borderId="0" xfId="0" applyFont="1" applyFill="1" applyAlignment="1">
      <alignment/>
    </xf>
    <xf numFmtId="1" fontId="58" fillId="33" borderId="0" xfId="0" applyNumberFormat="1" applyFont="1" applyFill="1" applyAlignment="1">
      <alignment/>
    </xf>
    <xf numFmtId="0" fontId="5" fillId="33" borderId="0" xfId="0" applyFont="1" applyFill="1" applyAlignment="1">
      <alignment/>
    </xf>
    <xf numFmtId="0" fontId="5" fillId="0" borderId="0" xfId="0" applyFont="1" applyFill="1" applyAlignment="1">
      <alignment/>
    </xf>
    <xf numFmtId="0" fontId="58" fillId="0" borderId="0" xfId="0" applyFont="1" applyBorder="1" applyAlignment="1">
      <alignment/>
    </xf>
    <xf numFmtId="1" fontId="58" fillId="0" borderId="0" xfId="0" applyNumberFormat="1" applyFont="1" applyAlignment="1">
      <alignment/>
    </xf>
    <xf numFmtId="170" fontId="5" fillId="33" borderId="10" xfId="0" applyNumberFormat="1" applyFont="1" applyFill="1" applyBorder="1" applyAlignment="1">
      <alignment/>
    </xf>
    <xf numFmtId="0" fontId="5" fillId="33" borderId="10" xfId="0" applyFont="1" applyFill="1" applyBorder="1" applyAlignment="1">
      <alignment/>
    </xf>
    <xf numFmtId="0" fontId="5" fillId="0" borderId="0" xfId="0" applyFont="1" applyFill="1" applyBorder="1" applyAlignment="1">
      <alignment/>
    </xf>
    <xf numFmtId="0" fontId="5" fillId="33" borderId="0" xfId="0" applyFont="1" applyFill="1" applyBorder="1" applyAlignment="1">
      <alignment/>
    </xf>
    <xf numFmtId="170" fontId="5" fillId="33" borderId="0" xfId="0" applyNumberFormat="1" applyFont="1" applyFill="1" applyBorder="1" applyAlignment="1">
      <alignment/>
    </xf>
    <xf numFmtId="0" fontId="5" fillId="33" borderId="0" xfId="37" applyFont="1" applyFill="1" applyBorder="1" applyAlignment="1">
      <alignment/>
    </xf>
    <xf numFmtId="0" fontId="5" fillId="34" borderId="0" xfId="37" applyFont="1" applyFill="1" applyBorder="1" applyAlignment="1">
      <alignment/>
    </xf>
    <xf numFmtId="0" fontId="58" fillId="33" borderId="0" xfId="0" applyFont="1" applyFill="1" applyBorder="1" applyAlignment="1">
      <alignment/>
    </xf>
    <xf numFmtId="0" fontId="58" fillId="34" borderId="0" xfId="0" applyFont="1" applyFill="1" applyBorder="1" applyAlignment="1">
      <alignment/>
    </xf>
    <xf numFmtId="170" fontId="58" fillId="33" borderId="0" xfId="0" applyNumberFormat="1" applyFont="1" applyFill="1" applyBorder="1" applyAlignment="1">
      <alignment/>
    </xf>
    <xf numFmtId="170" fontId="58" fillId="0" borderId="0" xfId="0" applyNumberFormat="1" applyFont="1" applyFill="1" applyBorder="1" applyAlignment="1">
      <alignment/>
    </xf>
    <xf numFmtId="170" fontId="58" fillId="0" borderId="0" xfId="0" applyNumberFormat="1" applyFont="1" applyBorder="1" applyAlignment="1">
      <alignment/>
    </xf>
    <xf numFmtId="0" fontId="5" fillId="0" borderId="0" xfId="0" applyFont="1" applyBorder="1" applyAlignment="1">
      <alignment/>
    </xf>
    <xf numFmtId="1" fontId="58" fillId="33" borderId="0" xfId="0" applyNumberFormat="1" applyFont="1" applyFill="1" applyBorder="1" applyAlignment="1">
      <alignment/>
    </xf>
    <xf numFmtId="171" fontId="58" fillId="33" borderId="0" xfId="0" applyNumberFormat="1" applyFont="1" applyFill="1" applyBorder="1" applyAlignment="1">
      <alignment/>
    </xf>
    <xf numFmtId="1" fontId="5" fillId="33" borderId="0" xfId="0" applyNumberFormat="1" applyFont="1" applyFill="1" applyBorder="1" applyAlignment="1">
      <alignment/>
    </xf>
    <xf numFmtId="0" fontId="5" fillId="34" borderId="0" xfId="0" applyFont="1" applyFill="1" applyBorder="1" applyAlignment="1">
      <alignment/>
    </xf>
    <xf numFmtId="171" fontId="58" fillId="0" borderId="0" xfId="0" applyNumberFormat="1" applyFont="1" applyFill="1" applyBorder="1" applyAlignment="1">
      <alignment/>
    </xf>
    <xf numFmtId="0" fontId="58" fillId="33" borderId="0" xfId="0" applyFont="1" applyFill="1" applyBorder="1" applyAlignment="1">
      <alignment wrapText="1"/>
    </xf>
    <xf numFmtId="0" fontId="5" fillId="25" borderId="0" xfId="37" applyFont="1" applyFill="1" applyBorder="1" applyAlignment="1">
      <alignment/>
    </xf>
    <xf numFmtId="0" fontId="30" fillId="34" borderId="0" xfId="37" applyFont="1" applyFill="1" applyBorder="1" applyAlignment="1">
      <alignment/>
    </xf>
    <xf numFmtId="0" fontId="58" fillId="35" borderId="0" xfId="0" applyFont="1" applyFill="1" applyBorder="1" applyAlignment="1">
      <alignment/>
    </xf>
    <xf numFmtId="0" fontId="30" fillId="33" borderId="0" xfId="37" applyFont="1" applyFill="1" applyBorder="1" applyAlignment="1">
      <alignment/>
    </xf>
    <xf numFmtId="0" fontId="58" fillId="34" borderId="0" xfId="0" applyFont="1" applyFill="1" applyAlignment="1">
      <alignment/>
    </xf>
    <xf numFmtId="170" fontId="58" fillId="33" borderId="0" xfId="0" applyNumberFormat="1" applyFont="1" applyFill="1" applyAlignment="1">
      <alignment/>
    </xf>
    <xf numFmtId="1" fontId="5" fillId="33" borderId="10" xfId="0" applyNumberFormat="1" applyFont="1" applyFill="1" applyBorder="1" applyAlignment="1">
      <alignment/>
    </xf>
    <xf numFmtId="1" fontId="30" fillId="33" borderId="0" xfId="37" applyNumberFormat="1" applyFont="1" applyFill="1" applyBorder="1" applyAlignment="1">
      <alignment/>
    </xf>
    <xf numFmtId="1" fontId="58" fillId="34" borderId="0" xfId="0" applyNumberFormat="1" applyFont="1" applyFill="1" applyAlignment="1">
      <alignment/>
    </xf>
    <xf numFmtId="1" fontId="58" fillId="34" borderId="0" xfId="0" applyNumberFormat="1" applyFont="1" applyFill="1" applyBorder="1" applyAlignment="1">
      <alignment/>
    </xf>
    <xf numFmtId="1" fontId="58" fillId="0" borderId="0" xfId="0" applyNumberFormat="1" applyFont="1" applyBorder="1" applyAlignment="1">
      <alignment/>
    </xf>
    <xf numFmtId="0" fontId="5" fillId="33" borderId="0" xfId="0" applyFont="1" applyFill="1" applyBorder="1" applyAlignment="1">
      <alignment wrapText="1"/>
    </xf>
    <xf numFmtId="0" fontId="58" fillId="36" borderId="0" xfId="0" applyFont="1" applyFill="1" applyAlignment="1">
      <alignment wrapText="1"/>
    </xf>
    <xf numFmtId="170" fontId="5" fillId="33" borderId="0" xfId="0" applyNumberFormat="1" applyFont="1" applyFill="1" applyAlignment="1">
      <alignment/>
    </xf>
    <xf numFmtId="0" fontId="58" fillId="36" borderId="0" xfId="0" applyFont="1" applyFill="1" applyAlignment="1">
      <alignment horizontal="center"/>
    </xf>
    <xf numFmtId="0" fontId="58" fillId="36" borderId="0" xfId="0" applyFont="1" applyFill="1" applyAlignment="1">
      <alignment/>
    </xf>
    <xf numFmtId="0" fontId="58" fillId="36" borderId="10" xfId="0" applyFont="1" applyFill="1" applyBorder="1" applyAlignment="1">
      <alignment wrapText="1"/>
    </xf>
    <xf numFmtId="0" fontId="58" fillId="36" borderId="0" xfId="0" applyFont="1" applyFill="1" applyAlignment="1">
      <alignment vertical="top"/>
    </xf>
    <xf numFmtId="0" fontId="58" fillId="36" borderId="0" xfId="0" applyFont="1" applyFill="1" applyAlignment="1">
      <alignment vertical="top" wrapText="1"/>
    </xf>
    <xf numFmtId="2" fontId="58" fillId="36" borderId="0" xfId="0" applyNumberFormat="1" applyFont="1" applyFill="1" applyAlignment="1">
      <alignment horizontal="center" vertical="top"/>
    </xf>
    <xf numFmtId="0" fontId="5" fillId="36" borderId="0" xfId="0" applyFont="1" applyFill="1" applyAlignment="1">
      <alignment horizontal="center" vertical="top"/>
    </xf>
    <xf numFmtId="0" fontId="58" fillId="36" borderId="0" xfId="0" applyFont="1" applyFill="1" applyAlignment="1">
      <alignment horizontal="center" vertical="top"/>
    </xf>
    <xf numFmtId="0" fontId="59" fillId="36" borderId="0" xfId="0" applyFont="1" applyFill="1" applyAlignment="1">
      <alignment vertical="top"/>
    </xf>
    <xf numFmtId="0" fontId="5" fillId="36" borderId="0" xfId="37" applyFont="1" applyFill="1" applyAlignment="1">
      <alignment horizontal="center" vertical="top"/>
    </xf>
    <xf numFmtId="0" fontId="5" fillId="36" borderId="0" xfId="0" applyFont="1" applyFill="1" applyAlignment="1">
      <alignment/>
    </xf>
    <xf numFmtId="0" fontId="58" fillId="36" borderId="0" xfId="0" applyFont="1" applyFill="1" applyAlignment="1">
      <alignment wrapText="1"/>
    </xf>
    <xf numFmtId="0" fontId="60" fillId="36" borderId="0" xfId="0" applyFont="1" applyFill="1" applyAlignment="1">
      <alignment wrapText="1"/>
    </xf>
    <xf numFmtId="0" fontId="58" fillId="36" borderId="0" xfId="0" applyFont="1" applyFill="1" applyBorder="1" applyAlignment="1">
      <alignment/>
    </xf>
    <xf numFmtId="0" fontId="61" fillId="36" borderId="0" xfId="0" applyFont="1" applyFill="1" applyAlignment="1">
      <alignment horizontal="left" wrapText="1"/>
    </xf>
    <xf numFmtId="0" fontId="62" fillId="36" borderId="0" xfId="0" applyFont="1" applyFill="1" applyBorder="1" applyAlignment="1">
      <alignment horizontal="left" wrapText="1"/>
    </xf>
    <xf numFmtId="0" fontId="58" fillId="36" borderId="0" xfId="0" applyFont="1" applyFill="1" applyBorder="1" applyAlignment="1">
      <alignment horizontal="center"/>
    </xf>
    <xf numFmtId="0" fontId="58" fillId="36" borderId="0" xfId="0" applyFont="1" applyFill="1" applyBorder="1" applyAlignment="1">
      <alignment wrapText="1"/>
    </xf>
    <xf numFmtId="0" fontId="60" fillId="36" borderId="0" xfId="0" applyFont="1" applyFill="1" applyBorder="1" applyAlignment="1">
      <alignment wrapText="1"/>
    </xf>
    <xf numFmtId="0" fontId="61" fillId="36" borderId="0" xfId="0" applyFont="1" applyFill="1" applyBorder="1" applyAlignment="1">
      <alignment horizontal="left" wrapText="1"/>
    </xf>
    <xf numFmtId="0" fontId="63" fillId="36" borderId="0" xfId="0" applyFont="1" applyFill="1" applyBorder="1" applyAlignment="1">
      <alignment horizontal="left" wrapText="1"/>
    </xf>
    <xf numFmtId="0" fontId="58" fillId="36" borderId="0" xfId="0" applyFont="1" applyFill="1" applyAlignment="1">
      <alignment/>
    </xf>
    <xf numFmtId="0" fontId="58" fillId="35" borderId="0" xfId="0" applyFont="1" applyFill="1" applyAlignment="1">
      <alignment/>
    </xf>
    <xf numFmtId="0" fontId="58" fillId="35" borderId="0" xfId="0" applyFont="1" applyFill="1" applyBorder="1" applyAlignment="1">
      <alignment horizontal="center"/>
    </xf>
    <xf numFmtId="0" fontId="58" fillId="35" borderId="0" xfId="0" applyFont="1" applyFill="1" applyAlignment="1">
      <alignment horizontal="center"/>
    </xf>
    <xf numFmtId="0" fontId="58" fillId="35" borderId="11" xfId="0" applyFont="1" applyFill="1" applyBorder="1" applyAlignment="1">
      <alignment/>
    </xf>
    <xf numFmtId="0" fontId="58" fillId="35" borderId="12" xfId="0" applyFont="1" applyFill="1" applyBorder="1" applyAlignment="1">
      <alignment/>
    </xf>
    <xf numFmtId="1" fontId="58" fillId="35" borderId="0" xfId="0" applyNumberFormat="1" applyFont="1" applyFill="1" applyBorder="1" applyAlignment="1">
      <alignment/>
    </xf>
    <xf numFmtId="0" fontId="58" fillId="35" borderId="13" xfId="0" applyFont="1" applyFill="1" applyBorder="1" applyAlignment="1">
      <alignment/>
    </xf>
    <xf numFmtId="0" fontId="58" fillId="35" borderId="0" xfId="0" applyFont="1" applyFill="1" applyAlignment="1">
      <alignment wrapText="1"/>
    </xf>
    <xf numFmtId="170" fontId="58" fillId="35" borderId="0" xfId="0" applyNumberFormat="1" applyFont="1" applyFill="1" applyAlignment="1">
      <alignment/>
    </xf>
    <xf numFmtId="0" fontId="5" fillId="35" borderId="0" xfId="0" applyFont="1" applyFill="1" applyAlignment="1">
      <alignment/>
    </xf>
    <xf numFmtId="0" fontId="5" fillId="35" borderId="0" xfId="0" applyFont="1" applyFill="1" applyAlignment="1">
      <alignment wrapText="1"/>
    </xf>
    <xf numFmtId="0" fontId="61" fillId="35" borderId="0" xfId="0" applyFont="1" applyFill="1" applyBorder="1" applyAlignment="1">
      <alignment horizontal="left" wrapText="1"/>
    </xf>
    <xf numFmtId="0" fontId="61" fillId="35" borderId="11" xfId="0" applyFont="1" applyFill="1" applyBorder="1" applyAlignment="1">
      <alignment horizontal="left" wrapText="1"/>
    </xf>
    <xf numFmtId="0" fontId="61" fillId="35" borderId="12" xfId="0" applyFont="1" applyFill="1" applyBorder="1" applyAlignment="1">
      <alignment horizontal="left" wrapText="1"/>
    </xf>
    <xf numFmtId="0" fontId="58" fillId="35" borderId="0" xfId="0" applyFont="1" applyFill="1" applyBorder="1" applyAlignment="1">
      <alignment wrapText="1"/>
    </xf>
    <xf numFmtId="0" fontId="63" fillId="35" borderId="0" xfId="0" applyFont="1" applyFill="1" applyBorder="1" applyAlignment="1">
      <alignment horizontal="left" wrapText="1"/>
    </xf>
    <xf numFmtId="0" fontId="58" fillId="35" borderId="11" xfId="0" applyFont="1" applyFill="1" applyBorder="1" applyAlignment="1">
      <alignment wrapText="1"/>
    </xf>
    <xf numFmtId="0" fontId="58" fillId="35" borderId="12" xfId="0" applyFont="1" applyFill="1" applyBorder="1" applyAlignment="1">
      <alignment wrapText="1"/>
    </xf>
    <xf numFmtId="0" fontId="58" fillId="35" borderId="13" xfId="0" applyFont="1" applyFill="1" applyBorder="1" applyAlignment="1">
      <alignment wrapText="1"/>
    </xf>
    <xf numFmtId="0" fontId="62" fillId="36" borderId="0" xfId="0" applyFont="1" applyFill="1" applyAlignment="1">
      <alignment horizontal="left" wrapText="1"/>
    </xf>
    <xf numFmtId="0" fontId="60" fillId="36" borderId="0" xfId="0" applyFont="1" applyFill="1" applyBorder="1" applyAlignment="1">
      <alignment/>
    </xf>
    <xf numFmtId="0" fontId="5" fillId="33" borderId="14" xfId="0" applyFont="1" applyFill="1" applyBorder="1" applyAlignment="1">
      <alignment wrapText="1"/>
    </xf>
    <xf numFmtId="1" fontId="58" fillId="35" borderId="0" xfId="0" applyNumberFormat="1" applyFont="1" applyFill="1" applyAlignment="1">
      <alignment/>
    </xf>
    <xf numFmtId="0" fontId="58" fillId="36" borderId="0" xfId="0" applyFont="1" applyFill="1" applyBorder="1" applyAlignment="1">
      <alignment vertical="top"/>
    </xf>
    <xf numFmtId="0" fontId="5" fillId="36" borderId="15" xfId="0" applyFont="1" applyFill="1" applyBorder="1" applyAlignment="1">
      <alignment horizontal="center" vertical="top" wrapText="1"/>
    </xf>
    <xf numFmtId="0" fontId="61" fillId="35" borderId="15" xfId="0" applyFont="1" applyFill="1" applyBorder="1" applyAlignment="1">
      <alignment horizontal="left" vertical="top" wrapText="1"/>
    </xf>
    <xf numFmtId="2" fontId="58" fillId="35" borderId="15" xfId="0" applyNumberFormat="1" applyFont="1" applyFill="1" applyBorder="1" applyAlignment="1">
      <alignment horizontal="center" vertical="top"/>
    </xf>
    <xf numFmtId="0" fontId="5" fillId="35" borderId="15" xfId="0" applyFont="1" applyFill="1" applyBorder="1" applyAlignment="1">
      <alignment horizontal="center" vertical="top"/>
    </xf>
    <xf numFmtId="171" fontId="58" fillId="35" borderId="15" xfId="0" applyNumberFormat="1" applyFont="1" applyFill="1" applyBorder="1" applyAlignment="1">
      <alignment horizontal="center" vertical="top"/>
    </xf>
    <xf numFmtId="0" fontId="5" fillId="35" borderId="15" xfId="37" applyFont="1" applyFill="1" applyBorder="1" applyAlignment="1">
      <alignment horizontal="center" vertical="top"/>
    </xf>
    <xf numFmtId="1" fontId="64" fillId="35" borderId="15" xfId="0" applyNumberFormat="1" applyFont="1" applyFill="1" applyBorder="1" applyAlignment="1">
      <alignment horizontal="center" vertical="top"/>
    </xf>
    <xf numFmtId="0" fontId="8" fillId="35" borderId="15" xfId="0" applyFont="1" applyFill="1" applyBorder="1" applyAlignment="1">
      <alignment horizontal="center" vertical="top"/>
    </xf>
    <xf numFmtId="0" fontId="61" fillId="36" borderId="15" xfId="0" applyFont="1" applyFill="1" applyBorder="1" applyAlignment="1">
      <alignment horizontal="left" wrapText="1"/>
    </xf>
    <xf numFmtId="0" fontId="61" fillId="36" borderId="15" xfId="0" applyFont="1" applyFill="1" applyBorder="1" applyAlignment="1">
      <alignment horizontal="left" vertical="top" wrapText="1"/>
    </xf>
    <xf numFmtId="0" fontId="58" fillId="36" borderId="0" xfId="0" applyFont="1" applyFill="1" applyAlignment="1">
      <alignment vertical="center"/>
    </xf>
    <xf numFmtId="0" fontId="63" fillId="36" borderId="15" xfId="0" applyFont="1" applyFill="1" applyBorder="1" applyAlignment="1">
      <alignment horizontal="left" vertical="center" wrapText="1"/>
    </xf>
    <xf numFmtId="0" fontId="58" fillId="36" borderId="15" xfId="0" applyFont="1" applyFill="1" applyBorder="1" applyAlignment="1">
      <alignment horizontal="center" vertical="center" wrapText="1"/>
    </xf>
    <xf numFmtId="1" fontId="64" fillId="35" borderId="15" xfId="0" applyNumberFormat="1" applyFont="1" applyFill="1" applyBorder="1" applyAlignment="1">
      <alignment horizontal="center" vertical="center"/>
    </xf>
    <xf numFmtId="0" fontId="8" fillId="35" borderId="15" xfId="0" applyFont="1" applyFill="1" applyBorder="1" applyAlignment="1">
      <alignment horizontal="center" vertical="center"/>
    </xf>
    <xf numFmtId="0" fontId="58" fillId="37" borderId="0" xfId="0" applyFont="1" applyFill="1" applyAlignment="1">
      <alignment/>
    </xf>
    <xf numFmtId="0" fontId="58" fillId="36" borderId="15" xfId="0" applyFont="1" applyFill="1" applyBorder="1" applyAlignment="1">
      <alignment horizontal="center"/>
    </xf>
    <xf numFmtId="0" fontId="58" fillId="36" borderId="0" xfId="0" applyFont="1" applyFill="1" applyAlignment="1">
      <alignment wrapText="1"/>
    </xf>
    <xf numFmtId="0" fontId="58" fillId="0" borderId="0" xfId="0" applyFont="1" applyFill="1" applyBorder="1" applyAlignment="1">
      <alignment horizontal="center"/>
    </xf>
    <xf numFmtId="0" fontId="58" fillId="0" borderId="0" xfId="0" applyFont="1" applyFill="1" applyAlignment="1">
      <alignment horizontal="center"/>
    </xf>
    <xf numFmtId="0" fontId="60" fillId="36" borderId="0" xfId="0" applyFont="1" applyFill="1" applyBorder="1" applyAlignment="1">
      <alignment vertical="top" wrapText="1"/>
    </xf>
    <xf numFmtId="0" fontId="58" fillId="0" borderId="0" xfId="0" applyFont="1" applyFill="1" applyAlignment="1">
      <alignment wrapText="1"/>
    </xf>
    <xf numFmtId="0" fontId="60" fillId="0" borderId="16" xfId="0" applyFont="1" applyFill="1" applyBorder="1" applyAlignment="1">
      <alignment horizontal="left" vertical="center"/>
    </xf>
    <xf numFmtId="0" fontId="58" fillId="37" borderId="0" xfId="0" applyFont="1" applyFill="1" applyAlignment="1">
      <alignment horizontal="center"/>
    </xf>
    <xf numFmtId="0" fontId="62" fillId="0" borderId="0" xfId="0" applyFont="1" applyFill="1" applyBorder="1" applyAlignment="1">
      <alignment horizontal="left" vertical="center" wrapText="1"/>
    </xf>
    <xf numFmtId="0" fontId="60" fillId="0" borderId="0" xfId="0" applyFont="1" applyFill="1" applyAlignment="1">
      <alignment wrapText="1"/>
    </xf>
    <xf numFmtId="1" fontId="0" fillId="0" borderId="0" xfId="0" applyNumberFormat="1" applyAlignment="1">
      <alignment/>
    </xf>
    <xf numFmtId="0" fontId="60" fillId="0" borderId="0" xfId="0" applyFont="1" applyFill="1" applyBorder="1" applyAlignment="1">
      <alignment vertical="center"/>
    </xf>
    <xf numFmtId="0" fontId="30" fillId="0" borderId="0" xfId="37" applyFont="1" applyFill="1" applyBorder="1" applyAlignment="1">
      <alignment/>
    </xf>
    <xf numFmtId="0" fontId="60" fillId="36" borderId="0" xfId="0" applyFont="1" applyFill="1" applyBorder="1" applyAlignment="1">
      <alignment vertical="center" wrapText="1"/>
    </xf>
    <xf numFmtId="0" fontId="58" fillId="36" borderId="0" xfId="0" applyFont="1" applyFill="1" applyAlignment="1">
      <alignment wrapText="1"/>
    </xf>
    <xf numFmtId="0" fontId="60" fillId="0" borderId="0" xfId="0" applyFont="1" applyFill="1" applyBorder="1" applyAlignment="1">
      <alignment wrapText="1"/>
    </xf>
    <xf numFmtId="0" fontId="65" fillId="36" borderId="0" xfId="0" applyFont="1" applyFill="1" applyAlignment="1">
      <alignment/>
    </xf>
    <xf numFmtId="0" fontId="58" fillId="36" borderId="0" xfId="0" applyFont="1" applyFill="1" applyAlignment="1">
      <alignment horizontal="left" vertical="center"/>
    </xf>
    <xf numFmtId="0" fontId="58" fillId="0" borderId="0" xfId="0" applyFont="1" applyAlignment="1">
      <alignment horizontal="left" vertical="center"/>
    </xf>
    <xf numFmtId="170" fontId="58" fillId="0" borderId="0" xfId="0" applyNumberFormat="1" applyFont="1" applyAlignment="1">
      <alignment horizontal="left" vertical="center"/>
    </xf>
    <xf numFmtId="0" fontId="58" fillId="0" borderId="0" xfId="0" applyFont="1" applyFill="1" applyAlignment="1">
      <alignment horizontal="left" vertical="center" wrapText="1"/>
    </xf>
    <xf numFmtId="0" fontId="60" fillId="0" borderId="0" xfId="0" applyFont="1" applyFill="1" applyBorder="1" applyAlignment="1">
      <alignment horizontal="left" vertical="center" wrapText="1"/>
    </xf>
    <xf numFmtId="0" fontId="5" fillId="0" borderId="0" xfId="0" applyFont="1" applyAlignment="1">
      <alignment vertical="center"/>
    </xf>
    <xf numFmtId="0" fontId="58" fillId="0" borderId="0" xfId="0" applyFont="1" applyAlignment="1">
      <alignment vertical="center"/>
    </xf>
    <xf numFmtId="0" fontId="5" fillId="36" borderId="0" xfId="0" applyFont="1" applyFill="1" applyBorder="1" applyAlignment="1">
      <alignment horizontal="center"/>
    </xf>
    <xf numFmtId="0" fontId="5" fillId="0" borderId="0" xfId="0" applyFont="1" applyFill="1" applyAlignment="1">
      <alignment vertical="center"/>
    </xf>
    <xf numFmtId="0" fontId="5" fillId="0" borderId="0" xfId="0" applyFont="1" applyFill="1" applyBorder="1" applyAlignment="1">
      <alignment horizontal="center"/>
    </xf>
    <xf numFmtId="0" fontId="5" fillId="36" borderId="0" xfId="0" applyFont="1" applyFill="1" applyBorder="1" applyAlignment="1">
      <alignment/>
    </xf>
    <xf numFmtId="0" fontId="58" fillId="36" borderId="0" xfId="0" applyFont="1" applyFill="1" applyBorder="1" applyAlignment="1">
      <alignment horizontal="center"/>
    </xf>
    <xf numFmtId="0" fontId="66" fillId="36" borderId="0"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67" fillId="37" borderId="0" xfId="0" applyFont="1" applyFill="1" applyAlignment="1">
      <alignment vertical="center" wrapText="1"/>
    </xf>
    <xf numFmtId="0" fontId="68" fillId="36" borderId="0" xfId="0" applyFont="1" applyFill="1" applyAlignment="1">
      <alignment vertical="center" wrapText="1"/>
    </xf>
    <xf numFmtId="0" fontId="67" fillId="36" borderId="0" xfId="0" applyFont="1" applyFill="1" applyAlignment="1">
      <alignment vertical="center"/>
    </xf>
    <xf numFmtId="0" fontId="67" fillId="0" borderId="0" xfId="0" applyFont="1" applyAlignment="1">
      <alignment vertical="center"/>
    </xf>
    <xf numFmtId="170" fontId="67" fillId="0" borderId="0" xfId="0" applyNumberFormat="1" applyFont="1" applyAlignment="1">
      <alignment vertical="center"/>
    </xf>
    <xf numFmtId="0" fontId="11" fillId="0" borderId="0" xfId="0" applyFont="1" applyAlignment="1">
      <alignment vertical="center"/>
    </xf>
    <xf numFmtId="0" fontId="67" fillId="0" borderId="0" xfId="0" applyFont="1" applyFill="1" applyAlignment="1">
      <alignment horizontal="center" vertical="center"/>
    </xf>
    <xf numFmtId="0" fontId="62" fillId="36" borderId="0" xfId="0" applyFont="1" applyFill="1" applyBorder="1" applyAlignment="1">
      <alignment horizontal="left" vertical="center" wrapText="1"/>
    </xf>
    <xf numFmtId="0" fontId="61" fillId="35" borderId="15" xfId="0" applyFont="1" applyFill="1" applyBorder="1" applyAlignment="1" quotePrefix="1">
      <alignment horizontal="left" vertical="center" wrapText="1"/>
    </xf>
    <xf numFmtId="1" fontId="58" fillId="35" borderId="12" xfId="0" applyNumberFormat="1" applyFont="1" applyFill="1" applyBorder="1" applyAlignment="1">
      <alignment/>
    </xf>
    <xf numFmtId="0" fontId="58" fillId="35" borderId="15" xfId="0" applyFont="1" applyFill="1" applyBorder="1" applyAlignment="1">
      <alignment vertical="top"/>
    </xf>
    <xf numFmtId="2" fontId="58" fillId="36" borderId="15" xfId="0" applyNumberFormat="1" applyFont="1" applyFill="1" applyBorder="1" applyAlignment="1">
      <alignment horizontal="center" vertical="top" wrapText="1"/>
    </xf>
    <xf numFmtId="0" fontId="58" fillId="36" borderId="0" xfId="0" applyFont="1" applyFill="1" applyAlignment="1">
      <alignment vertical="center" wrapText="1"/>
    </xf>
    <xf numFmtId="0" fontId="58" fillId="37" borderId="0" xfId="0" applyFont="1" applyFill="1" applyAlignment="1">
      <alignment vertical="center" wrapText="1"/>
    </xf>
    <xf numFmtId="0" fontId="58" fillId="37" borderId="0" xfId="0" applyFont="1" applyFill="1" applyBorder="1" applyAlignment="1">
      <alignment wrapText="1"/>
    </xf>
    <xf numFmtId="0" fontId="58" fillId="37" borderId="0" xfId="0" applyFont="1" applyFill="1" applyBorder="1" applyAlignment="1">
      <alignment/>
    </xf>
    <xf numFmtId="0" fontId="58" fillId="37" borderId="0" xfId="0" applyFont="1" applyFill="1" applyAlignment="1">
      <alignment wrapText="1"/>
    </xf>
    <xf numFmtId="0" fontId="5" fillId="36" borderId="0" xfId="0" applyFont="1" applyFill="1" applyBorder="1" applyAlignment="1">
      <alignment horizontal="center" vertical="top" wrapText="1"/>
    </xf>
    <xf numFmtId="2" fontId="58" fillId="36" borderId="0" xfId="0" applyNumberFormat="1" applyFont="1" applyFill="1" applyBorder="1" applyAlignment="1">
      <alignment horizontal="center" vertical="top" wrapText="1"/>
    </xf>
    <xf numFmtId="0" fontId="5" fillId="36" borderId="0" xfId="0" applyFont="1" applyFill="1" applyBorder="1" applyAlignment="1">
      <alignment horizontal="center" vertical="top"/>
    </xf>
    <xf numFmtId="0" fontId="5" fillId="36" borderId="0" xfId="37" applyFont="1" applyFill="1" applyBorder="1" applyAlignment="1">
      <alignment horizontal="center" vertical="top"/>
    </xf>
    <xf numFmtId="0" fontId="9" fillId="36" borderId="0" xfId="37" applyFont="1" applyFill="1" applyBorder="1" applyAlignment="1">
      <alignment horizontal="center" vertical="top"/>
    </xf>
    <xf numFmtId="0" fontId="8" fillId="36" borderId="0" xfId="0" applyFont="1" applyFill="1" applyBorder="1" applyAlignment="1">
      <alignment horizontal="center" vertical="top"/>
    </xf>
    <xf numFmtId="1" fontId="58" fillId="36" borderId="0" xfId="0" applyNumberFormat="1" applyFont="1" applyFill="1" applyBorder="1" applyAlignment="1">
      <alignment horizontal="center" vertical="top"/>
    </xf>
    <xf numFmtId="0" fontId="8" fillId="36" borderId="0" xfId="0" applyFont="1" applyFill="1" applyBorder="1" applyAlignment="1">
      <alignment horizontal="center" vertical="center"/>
    </xf>
    <xf numFmtId="0" fontId="58" fillId="36" borderId="0" xfId="0" applyFont="1" applyFill="1" applyBorder="1" applyAlignment="1">
      <alignment horizontal="center" vertical="top"/>
    </xf>
    <xf numFmtId="0" fontId="58" fillId="37" borderId="17" xfId="0" applyFont="1" applyFill="1" applyBorder="1" applyAlignment="1">
      <alignment horizontal="center" vertical="center"/>
    </xf>
    <xf numFmtId="0" fontId="62" fillId="35" borderId="15" xfId="0" applyFont="1" applyFill="1" applyBorder="1" applyAlignment="1">
      <alignment horizontal="left" vertical="center" wrapText="1"/>
    </xf>
    <xf numFmtId="171" fontId="69" fillId="35" borderId="15" xfId="0" applyNumberFormat="1" applyFont="1" applyFill="1" applyBorder="1" applyAlignment="1">
      <alignment horizontal="center" vertical="center"/>
    </xf>
    <xf numFmtId="0" fontId="9" fillId="35" borderId="15" xfId="37" applyFont="1" applyFill="1" applyBorder="1" applyAlignment="1">
      <alignment horizontal="center" vertical="center"/>
    </xf>
    <xf numFmtId="0" fontId="58" fillId="36" borderId="0" xfId="0" applyFont="1" applyFill="1" applyBorder="1" applyAlignment="1">
      <alignment vertical="top" wrapText="1"/>
    </xf>
    <xf numFmtId="0" fontId="58" fillId="36" borderId="18" xfId="0" applyFont="1" applyFill="1" applyBorder="1" applyAlignment="1">
      <alignment vertical="top" wrapText="1"/>
    </xf>
    <xf numFmtId="0" fontId="58" fillId="37" borderId="0" xfId="0" applyFont="1" applyFill="1" applyBorder="1" applyAlignment="1">
      <alignment horizontal="center"/>
    </xf>
    <xf numFmtId="0" fontId="58" fillId="35" borderId="0" xfId="0" applyFont="1" applyFill="1" applyAlignment="1">
      <alignment vertical="top" wrapText="1"/>
    </xf>
    <xf numFmtId="0" fontId="58" fillId="35" borderId="0" xfId="0" applyFont="1" applyFill="1" applyBorder="1" applyAlignment="1">
      <alignment vertical="top" wrapText="1"/>
    </xf>
    <xf numFmtId="0" fontId="58" fillId="36" borderId="0" xfId="0" applyFont="1" applyFill="1" applyAlignment="1">
      <alignment wrapText="1"/>
    </xf>
    <xf numFmtId="0" fontId="4" fillId="35" borderId="0" xfId="0" applyFont="1" applyFill="1" applyAlignment="1">
      <alignment vertical="top" wrapText="1"/>
    </xf>
    <xf numFmtId="0" fontId="60" fillId="36" borderId="0" xfId="0" applyFont="1" applyFill="1" applyAlignment="1">
      <alignment vertical="top" wrapText="1"/>
    </xf>
    <xf numFmtId="1" fontId="58" fillId="35" borderId="15" xfId="0" applyNumberFormat="1" applyFont="1" applyFill="1" applyBorder="1" applyAlignment="1" applyProtection="1">
      <alignment/>
      <protection locked="0"/>
    </xf>
    <xf numFmtId="0" fontId="58" fillId="35" borderId="0" xfId="0" applyFont="1" applyFill="1" applyBorder="1" applyAlignment="1" applyProtection="1">
      <alignment horizontal="center"/>
      <protection locked="0"/>
    </xf>
    <xf numFmtId="0" fontId="58" fillId="35" borderId="0" xfId="0" applyFont="1" applyFill="1" applyBorder="1" applyAlignment="1" applyProtection="1">
      <alignment horizontal="left"/>
      <protection locked="0"/>
    </xf>
    <xf numFmtId="0" fontId="58" fillId="35" borderId="0" xfId="0" applyFont="1" applyFill="1" applyBorder="1" applyAlignment="1" applyProtection="1">
      <alignment/>
      <protection locked="0"/>
    </xf>
    <xf numFmtId="0" fontId="58" fillId="35" borderId="0" xfId="0" applyFont="1" applyFill="1" applyBorder="1" applyAlignment="1" applyProtection="1">
      <alignment horizontal="left" vertical="top"/>
      <protection locked="0"/>
    </xf>
    <xf numFmtId="0" fontId="58" fillId="35" borderId="0" xfId="0" applyFont="1" applyFill="1" applyAlignment="1" applyProtection="1">
      <alignment/>
      <protection locked="0"/>
    </xf>
    <xf numFmtId="0" fontId="58" fillId="35" borderId="0" xfId="0" applyFont="1" applyFill="1" applyAlignment="1" applyProtection="1">
      <alignment horizontal="center"/>
      <protection locked="0"/>
    </xf>
    <xf numFmtId="0" fontId="58" fillId="0" borderId="0" xfId="0" applyFont="1" applyFill="1" applyAlignment="1" applyProtection="1">
      <alignment horizontal="center"/>
      <protection locked="0"/>
    </xf>
    <xf numFmtId="0" fontId="5" fillId="35" borderId="0" xfId="0" applyFont="1" applyFill="1" applyAlignment="1" applyProtection="1">
      <alignment/>
      <protection locked="0"/>
    </xf>
    <xf numFmtId="0" fontId="58" fillId="35" borderId="0" xfId="0" applyFont="1" applyFill="1" applyAlignment="1" applyProtection="1">
      <alignment wrapText="1"/>
      <protection locked="0"/>
    </xf>
    <xf numFmtId="0" fontId="64" fillId="35" borderId="0" xfId="0" applyFont="1" applyFill="1" applyAlignment="1" applyProtection="1">
      <alignment horizontal="center"/>
      <protection locked="0"/>
    </xf>
    <xf numFmtId="0" fontId="64" fillId="0" borderId="0" xfId="0" applyFont="1" applyFill="1" applyAlignment="1" applyProtection="1">
      <alignment horizontal="center"/>
      <protection locked="0"/>
    </xf>
    <xf numFmtId="0" fontId="58" fillId="36" borderId="0" xfId="0" applyFont="1" applyFill="1" applyAlignment="1" applyProtection="1">
      <alignment/>
      <protection locked="0"/>
    </xf>
    <xf numFmtId="0" fontId="64" fillId="36" borderId="0" xfId="0" applyFont="1" applyFill="1" applyAlignment="1" applyProtection="1">
      <alignment horizontal="center"/>
      <protection locked="0"/>
    </xf>
    <xf numFmtId="0" fontId="58" fillId="0" borderId="0" xfId="0" applyFont="1" applyAlignment="1" applyProtection="1">
      <alignment/>
      <protection locked="0"/>
    </xf>
    <xf numFmtId="0" fontId="5" fillId="0" borderId="0" xfId="0" applyFont="1" applyAlignment="1" applyProtection="1">
      <alignment/>
      <protection locked="0"/>
    </xf>
    <xf numFmtId="0" fontId="58" fillId="37" borderId="0" xfId="0" applyFont="1" applyFill="1" applyAlignment="1" applyProtection="1">
      <alignment/>
      <protection locked="0"/>
    </xf>
    <xf numFmtId="0" fontId="58" fillId="0" borderId="0" xfId="0" applyFont="1" applyFill="1" applyAlignment="1" applyProtection="1">
      <alignment/>
      <protection locked="0"/>
    </xf>
    <xf numFmtId="0" fontId="60" fillId="36" borderId="0" xfId="0" applyFont="1" applyFill="1" applyAlignment="1" applyProtection="1">
      <alignment/>
      <protection locked="0"/>
    </xf>
    <xf numFmtId="0" fontId="58" fillId="36" borderId="0" xfId="0" applyFont="1" applyFill="1" applyAlignment="1" applyProtection="1">
      <alignment horizontal="center"/>
      <protection locked="0"/>
    </xf>
    <xf numFmtId="0" fontId="5" fillId="33" borderId="10" xfId="0" applyFont="1" applyFill="1" applyBorder="1" applyAlignment="1" applyProtection="1">
      <alignment wrapText="1"/>
      <protection locked="0"/>
    </xf>
    <xf numFmtId="170" fontId="5" fillId="33" borderId="10" xfId="0" applyNumberFormat="1" applyFont="1" applyFill="1" applyBorder="1" applyAlignment="1" applyProtection="1">
      <alignment/>
      <protection locked="0"/>
    </xf>
    <xf numFmtId="0" fontId="5" fillId="33" borderId="10" xfId="0" applyFont="1" applyFill="1" applyBorder="1" applyAlignment="1" applyProtection="1">
      <alignment/>
      <protection locked="0"/>
    </xf>
    <xf numFmtId="0" fontId="58" fillId="36" borderId="0" xfId="0" applyFont="1" applyFill="1" applyBorder="1" applyAlignment="1" applyProtection="1">
      <alignment/>
      <protection locked="0"/>
    </xf>
    <xf numFmtId="0" fontId="60" fillId="36" borderId="0" xfId="0" applyFont="1" applyFill="1" applyBorder="1" applyAlignment="1" applyProtection="1">
      <alignment wrapText="1"/>
      <protection locked="0"/>
    </xf>
    <xf numFmtId="0" fontId="58" fillId="36" borderId="0" xfId="0" applyFont="1"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58" fillId="33" borderId="0" xfId="0" applyFont="1" applyFill="1" applyBorder="1" applyAlignment="1" applyProtection="1">
      <alignment/>
      <protection locked="0"/>
    </xf>
    <xf numFmtId="0" fontId="5" fillId="33" borderId="0" xfId="0" applyFont="1" applyFill="1" applyBorder="1" applyAlignment="1" applyProtection="1">
      <alignment/>
      <protection locked="0"/>
    </xf>
    <xf numFmtId="0" fontId="58" fillId="0" borderId="0" xfId="0" applyFont="1" applyBorder="1" applyAlignment="1" applyProtection="1">
      <alignment/>
      <protection locked="0"/>
    </xf>
    <xf numFmtId="0" fontId="58" fillId="36" borderId="10" xfId="0" applyFont="1" applyFill="1" applyBorder="1" applyAlignment="1" applyProtection="1">
      <alignment wrapText="1"/>
      <protection locked="0"/>
    </xf>
    <xf numFmtId="0" fontId="70" fillId="35" borderId="10" xfId="0" applyFont="1" applyFill="1" applyBorder="1" applyAlignment="1" applyProtection="1">
      <alignment horizontal="center" vertical="center"/>
      <protection locked="0"/>
    </xf>
    <xf numFmtId="0" fontId="70" fillId="35" borderId="0" xfId="0" applyFont="1" applyFill="1" applyBorder="1" applyAlignment="1" applyProtection="1">
      <alignment horizontal="center" vertical="center"/>
      <protection locked="0"/>
    </xf>
    <xf numFmtId="0" fontId="5" fillId="34" borderId="0" xfId="37" applyFont="1" applyFill="1" applyBorder="1" applyAlignment="1" applyProtection="1">
      <alignment/>
      <protection locked="0"/>
    </xf>
    <xf numFmtId="0" fontId="62" fillId="36" borderId="0" xfId="0" applyFont="1" applyFill="1" applyAlignment="1" applyProtection="1">
      <alignment horizontal="left" wrapText="1"/>
      <protection locked="0"/>
    </xf>
    <xf numFmtId="0" fontId="58" fillId="33" borderId="0" xfId="0" applyFont="1" applyFill="1" applyAlignment="1" applyProtection="1">
      <alignment wrapText="1"/>
      <protection locked="0"/>
    </xf>
    <xf numFmtId="0" fontId="58" fillId="33" borderId="0" xfId="0" applyFont="1" applyFill="1" applyAlignment="1" applyProtection="1">
      <alignment/>
      <protection locked="0"/>
    </xf>
    <xf numFmtId="0" fontId="5" fillId="33" borderId="0" xfId="0" applyFont="1" applyFill="1" applyAlignment="1" applyProtection="1">
      <alignment wrapText="1"/>
      <protection locked="0"/>
    </xf>
    <xf numFmtId="1" fontId="5" fillId="33" borderId="0" xfId="0" applyNumberFormat="1" applyFont="1" applyFill="1" applyAlignment="1" applyProtection="1">
      <alignment wrapText="1"/>
      <protection locked="0"/>
    </xf>
    <xf numFmtId="0" fontId="60" fillId="36" borderId="0" xfId="0" applyFont="1" applyFill="1" applyBorder="1" applyAlignment="1" applyProtection="1">
      <alignment/>
      <protection locked="0"/>
    </xf>
    <xf numFmtId="0" fontId="5" fillId="33" borderId="0" xfId="37" applyFont="1" applyFill="1" applyBorder="1" applyAlignment="1" applyProtection="1">
      <alignment/>
      <protection locked="0"/>
    </xf>
    <xf numFmtId="0" fontId="58" fillId="36" borderId="0" xfId="0" applyFont="1" applyFill="1" applyBorder="1" applyAlignment="1" applyProtection="1">
      <alignment wrapText="1"/>
      <protection locked="0"/>
    </xf>
    <xf numFmtId="0" fontId="58" fillId="36" borderId="0" xfId="0" applyFont="1" applyFill="1" applyBorder="1" applyAlignment="1" applyProtection="1">
      <alignment vertical="center" wrapText="1"/>
      <protection locked="0"/>
    </xf>
    <xf numFmtId="0" fontId="58" fillId="37" borderId="0" xfId="0" applyFont="1" applyFill="1" applyBorder="1" applyAlignment="1" applyProtection="1">
      <alignment/>
      <protection locked="0"/>
    </xf>
    <xf numFmtId="0" fontId="58" fillId="35" borderId="0" xfId="0" applyFont="1" applyFill="1" applyBorder="1" applyAlignment="1" applyProtection="1">
      <alignment wrapText="1"/>
      <protection locked="0"/>
    </xf>
    <xf numFmtId="1" fontId="5" fillId="33" borderId="0" xfId="0" applyNumberFormat="1" applyFont="1" applyFill="1" applyBorder="1" applyAlignment="1" applyProtection="1">
      <alignment/>
      <protection locked="0"/>
    </xf>
    <xf numFmtId="0" fontId="5" fillId="0" borderId="0" xfId="0" applyFont="1" applyBorder="1" applyAlignment="1" applyProtection="1">
      <alignment/>
      <protection locked="0"/>
    </xf>
    <xf numFmtId="171" fontId="58" fillId="33" borderId="0" xfId="0" applyNumberFormat="1" applyFont="1" applyFill="1" applyBorder="1" applyAlignment="1" applyProtection="1">
      <alignment/>
      <protection locked="0"/>
    </xf>
    <xf numFmtId="0" fontId="67" fillId="0" borderId="0" xfId="0" applyFont="1" applyFill="1" applyAlignment="1" applyProtection="1">
      <alignment vertical="center"/>
      <protection locked="0"/>
    </xf>
    <xf numFmtId="0" fontId="71" fillId="35" borderId="10" xfId="0" applyFont="1" applyFill="1" applyBorder="1" applyAlignment="1" applyProtection="1">
      <alignment horizontal="center" vertical="center"/>
      <protection locked="0"/>
    </xf>
    <xf numFmtId="170" fontId="58" fillId="35" borderId="0" xfId="0" applyNumberFormat="1" applyFont="1" applyFill="1" applyAlignment="1" applyProtection="1">
      <alignment/>
      <protection locked="0"/>
    </xf>
    <xf numFmtId="170" fontId="58" fillId="0" borderId="0" xfId="0" applyNumberFormat="1" applyFont="1" applyAlignment="1" applyProtection="1">
      <alignment/>
      <protection locked="0"/>
    </xf>
    <xf numFmtId="0" fontId="58" fillId="35" borderId="14" xfId="0" applyFont="1" applyFill="1" applyBorder="1" applyAlignment="1" applyProtection="1">
      <alignment horizontal="center" wrapText="1"/>
      <protection locked="0"/>
    </xf>
    <xf numFmtId="0" fontId="58" fillId="33" borderId="10" xfId="0" applyFont="1" applyFill="1" applyBorder="1" applyAlignment="1" applyProtection="1">
      <alignment wrapText="1"/>
      <protection locked="0"/>
    </xf>
    <xf numFmtId="170" fontId="58" fillId="33" borderId="10" xfId="0" applyNumberFormat="1" applyFont="1" applyFill="1" applyBorder="1" applyAlignment="1" applyProtection="1">
      <alignment wrapText="1"/>
      <protection locked="0"/>
    </xf>
    <xf numFmtId="1" fontId="58" fillId="33" borderId="0" xfId="0" applyNumberFormat="1" applyFont="1" applyFill="1" applyAlignment="1" applyProtection="1">
      <alignment/>
      <protection locked="0"/>
    </xf>
    <xf numFmtId="0" fontId="5" fillId="33" borderId="0" xfId="0" applyFont="1" applyFill="1" applyAlignment="1" applyProtection="1">
      <alignment/>
      <protection locked="0"/>
    </xf>
    <xf numFmtId="0" fontId="58" fillId="35" borderId="12" xfId="0" applyFont="1" applyFill="1" applyBorder="1" applyAlignment="1" applyProtection="1">
      <alignment/>
      <protection locked="0"/>
    </xf>
    <xf numFmtId="0" fontId="5" fillId="33" borderId="12" xfId="0" applyFont="1" applyFill="1" applyBorder="1" applyAlignment="1" applyProtection="1">
      <alignment/>
      <protection locked="0"/>
    </xf>
    <xf numFmtId="0" fontId="58" fillId="33" borderId="12" xfId="0" applyFont="1" applyFill="1" applyBorder="1" applyAlignment="1" applyProtection="1">
      <alignment/>
      <protection locked="0"/>
    </xf>
    <xf numFmtId="1" fontId="58" fillId="0" borderId="0" xfId="0" applyNumberFormat="1" applyFont="1" applyFill="1" applyAlignment="1" applyProtection="1">
      <alignment/>
      <protection locked="0"/>
    </xf>
    <xf numFmtId="0" fontId="5" fillId="0" borderId="0" xfId="0" applyFont="1" applyFill="1" applyAlignment="1" applyProtection="1">
      <alignment/>
      <protection locked="0"/>
    </xf>
    <xf numFmtId="1" fontId="58" fillId="0" borderId="0" xfId="0" applyNumberFormat="1" applyFont="1" applyAlignment="1" applyProtection="1">
      <alignment/>
      <protection locked="0"/>
    </xf>
    <xf numFmtId="0" fontId="5" fillId="0" borderId="0" xfId="0" applyFont="1" applyFill="1" applyBorder="1" applyAlignment="1" applyProtection="1">
      <alignment/>
      <protection locked="0"/>
    </xf>
    <xf numFmtId="0" fontId="58" fillId="0" borderId="0" xfId="0" applyFont="1" applyFill="1" applyBorder="1" applyAlignment="1" applyProtection="1">
      <alignment/>
      <protection locked="0"/>
    </xf>
    <xf numFmtId="170" fontId="5" fillId="33" borderId="0" xfId="0" applyNumberFormat="1" applyFont="1" applyFill="1" applyBorder="1" applyAlignment="1" applyProtection="1">
      <alignment/>
      <protection locked="0"/>
    </xf>
    <xf numFmtId="0" fontId="5" fillId="0" borderId="0" xfId="37" applyFont="1" applyFill="1" applyBorder="1" applyAlignment="1" applyProtection="1">
      <alignment/>
      <protection locked="0"/>
    </xf>
    <xf numFmtId="0" fontId="58" fillId="0" borderId="0" xfId="0" applyFont="1" applyFill="1" applyBorder="1" applyAlignment="1" applyProtection="1">
      <alignment wrapText="1"/>
      <protection locked="0"/>
    </xf>
    <xf numFmtId="0" fontId="58" fillId="34" borderId="0" xfId="0" applyFont="1" applyFill="1" applyBorder="1" applyAlignment="1" applyProtection="1">
      <alignment/>
      <protection locked="0"/>
    </xf>
    <xf numFmtId="170" fontId="58" fillId="33" borderId="0" xfId="0" applyNumberFormat="1" applyFont="1" applyFill="1" applyBorder="1" applyAlignment="1" applyProtection="1">
      <alignment/>
      <protection locked="0"/>
    </xf>
    <xf numFmtId="0" fontId="58" fillId="0" borderId="0" xfId="0" applyFont="1" applyBorder="1" applyAlignment="1" applyProtection="1">
      <alignment wrapText="1"/>
      <protection locked="0"/>
    </xf>
    <xf numFmtId="170" fontId="58" fillId="0" borderId="0" xfId="0" applyNumberFormat="1" applyFont="1" applyBorder="1" applyAlignment="1" applyProtection="1">
      <alignment/>
      <protection locked="0"/>
    </xf>
    <xf numFmtId="0" fontId="58" fillId="35" borderId="11" xfId="0" applyFont="1" applyFill="1" applyBorder="1" applyAlignment="1" applyProtection="1">
      <alignment/>
      <protection locked="0"/>
    </xf>
    <xf numFmtId="0" fontId="58" fillId="33" borderId="11" xfId="0" applyFont="1" applyFill="1" applyBorder="1" applyAlignment="1" applyProtection="1">
      <alignment/>
      <protection locked="0"/>
    </xf>
    <xf numFmtId="170" fontId="58" fillId="33" borderId="11" xfId="0" applyNumberFormat="1" applyFont="1" applyFill="1" applyBorder="1" applyAlignment="1" applyProtection="1">
      <alignment/>
      <protection locked="0"/>
    </xf>
    <xf numFmtId="0" fontId="5" fillId="34" borderId="11" xfId="37" applyFont="1" applyFill="1" applyBorder="1" applyAlignment="1" applyProtection="1">
      <alignment/>
      <protection locked="0"/>
    </xf>
    <xf numFmtId="170" fontId="58" fillId="33" borderId="12" xfId="0" applyNumberFormat="1" applyFont="1" applyFill="1" applyBorder="1" applyAlignment="1" applyProtection="1">
      <alignment/>
      <protection locked="0"/>
    </xf>
    <xf numFmtId="0" fontId="5" fillId="34" borderId="12" xfId="37" applyFont="1" applyFill="1" applyBorder="1" applyAlignment="1" applyProtection="1">
      <alignment/>
      <protection locked="0"/>
    </xf>
    <xf numFmtId="1" fontId="58" fillId="35" borderId="12" xfId="0" applyNumberFormat="1" applyFont="1" applyFill="1" applyBorder="1" applyAlignment="1" applyProtection="1">
      <alignment/>
      <protection locked="0"/>
    </xf>
    <xf numFmtId="1" fontId="58" fillId="35" borderId="0" xfId="0" applyNumberFormat="1" applyFont="1" applyFill="1" applyBorder="1" applyAlignment="1" applyProtection="1">
      <alignment/>
      <protection locked="0"/>
    </xf>
    <xf numFmtId="0" fontId="5" fillId="34" borderId="0" xfId="0" applyFont="1" applyFill="1" applyBorder="1" applyAlignment="1" applyProtection="1">
      <alignment/>
      <protection locked="0"/>
    </xf>
    <xf numFmtId="0" fontId="5" fillId="33" borderId="12" xfId="37" applyFont="1" applyFill="1" applyBorder="1" applyAlignment="1" applyProtection="1">
      <alignment/>
      <protection locked="0"/>
    </xf>
    <xf numFmtId="0" fontId="58" fillId="35" borderId="13" xfId="0" applyFont="1" applyFill="1" applyBorder="1" applyAlignment="1" applyProtection="1">
      <alignment/>
      <protection locked="0"/>
    </xf>
    <xf numFmtId="0" fontId="58" fillId="33" borderId="13" xfId="0" applyFont="1" applyFill="1" applyBorder="1" applyAlignment="1" applyProtection="1">
      <alignment/>
      <protection locked="0"/>
    </xf>
    <xf numFmtId="170" fontId="58" fillId="33" borderId="13" xfId="0" applyNumberFormat="1" applyFont="1" applyFill="1" applyBorder="1" applyAlignment="1" applyProtection="1">
      <alignment/>
      <protection locked="0"/>
    </xf>
    <xf numFmtId="0" fontId="5" fillId="34" borderId="13" xfId="0" applyFont="1" applyFill="1" applyBorder="1" applyAlignment="1" applyProtection="1">
      <alignment/>
      <protection locked="0"/>
    </xf>
    <xf numFmtId="0" fontId="5" fillId="25" borderId="0" xfId="37" applyFont="1" applyFill="1" applyBorder="1" applyAlignment="1" applyProtection="1">
      <alignment/>
      <protection locked="0"/>
    </xf>
    <xf numFmtId="0" fontId="5" fillId="25" borderId="12" xfId="37" applyFont="1" applyFill="1" applyBorder="1" applyAlignment="1" applyProtection="1">
      <alignment/>
      <protection locked="0"/>
    </xf>
    <xf numFmtId="172" fontId="58" fillId="33" borderId="0" xfId="0" applyNumberFormat="1" applyFont="1" applyFill="1" applyBorder="1" applyAlignment="1" applyProtection="1">
      <alignment/>
      <protection locked="0"/>
    </xf>
    <xf numFmtId="0" fontId="60" fillId="36" borderId="0" xfId="0" applyFont="1" applyFill="1" applyAlignment="1">
      <alignment vertical="center" wrapText="1"/>
    </xf>
    <xf numFmtId="0" fontId="58" fillId="33" borderId="0" xfId="0" applyFont="1" applyFill="1" applyAlignment="1" applyProtection="1">
      <alignment/>
      <protection/>
    </xf>
    <xf numFmtId="1" fontId="58" fillId="33" borderId="0" xfId="0" applyNumberFormat="1" applyFont="1" applyFill="1" applyAlignment="1" applyProtection="1">
      <alignment/>
      <protection/>
    </xf>
    <xf numFmtId="0" fontId="5" fillId="38" borderId="0" xfId="0" applyFont="1" applyFill="1" applyAlignment="1" applyProtection="1">
      <alignment/>
      <protection/>
    </xf>
    <xf numFmtId="0" fontId="58" fillId="38" borderId="0" xfId="0" applyFont="1" applyFill="1" applyAlignment="1" applyProtection="1">
      <alignment/>
      <protection/>
    </xf>
    <xf numFmtId="0" fontId="5" fillId="33" borderId="0" xfId="0" applyFont="1" applyFill="1" applyAlignment="1" applyProtection="1">
      <alignment/>
      <protection/>
    </xf>
    <xf numFmtId="0" fontId="58" fillId="33" borderId="19" xfId="0" applyFont="1" applyFill="1" applyBorder="1" applyAlignment="1" applyProtection="1">
      <alignment/>
      <protection/>
    </xf>
    <xf numFmtId="0" fontId="5" fillId="33" borderId="12" xfId="0" applyFont="1" applyFill="1" applyBorder="1" applyAlignment="1" applyProtection="1">
      <alignment/>
      <protection/>
    </xf>
    <xf numFmtId="0" fontId="58" fillId="33" borderId="12" xfId="0" applyFont="1" applyFill="1" applyBorder="1" applyAlignment="1" applyProtection="1">
      <alignment/>
      <protection/>
    </xf>
    <xf numFmtId="0" fontId="59" fillId="36" borderId="0" xfId="0" applyFont="1" applyFill="1" applyAlignment="1">
      <alignment vertical="center"/>
    </xf>
    <xf numFmtId="0" fontId="67" fillId="37" borderId="0" xfId="0" applyFont="1" applyFill="1" applyAlignment="1">
      <alignment vertical="center" wrapText="1"/>
    </xf>
    <xf numFmtId="0" fontId="60" fillId="36" borderId="0" xfId="0" applyFont="1" applyFill="1" applyAlignment="1">
      <alignment vertical="center" wrapText="1"/>
    </xf>
    <xf numFmtId="0" fontId="58" fillId="39" borderId="0" xfId="0" applyFont="1" applyFill="1" applyAlignment="1">
      <alignment vertical="center" wrapText="1"/>
    </xf>
    <xf numFmtId="0" fontId="58" fillId="36" borderId="0" xfId="0" applyFont="1" applyFill="1" applyBorder="1" applyAlignment="1">
      <alignment horizontal="center"/>
    </xf>
    <xf numFmtId="0" fontId="58" fillId="36" borderId="0" xfId="0" applyFont="1" applyFill="1" applyBorder="1" applyAlignment="1">
      <alignment vertical="top"/>
    </xf>
    <xf numFmtId="0" fontId="58" fillId="36" borderId="0" xfId="0" applyFont="1" applyFill="1" applyBorder="1" applyAlignment="1">
      <alignment horizontal="center"/>
    </xf>
    <xf numFmtId="0" fontId="59" fillId="36" borderId="0" xfId="0" applyFont="1" applyFill="1" applyAlignment="1">
      <alignment vertical="center"/>
    </xf>
    <xf numFmtId="0" fontId="67" fillId="37" borderId="0" xfId="0" applyFont="1" applyFill="1" applyAlignment="1">
      <alignment vertical="center" wrapText="1"/>
    </xf>
    <xf numFmtId="0" fontId="58" fillId="36" borderId="0" xfId="0" applyFont="1" applyFill="1" applyBorder="1" applyAlignment="1">
      <alignment horizontal="center" wrapText="1"/>
    </xf>
    <xf numFmtId="0" fontId="67" fillId="37" borderId="0" xfId="0" applyFont="1" applyFill="1" applyAlignment="1" applyProtection="1">
      <alignment vertical="center"/>
      <protection locked="0"/>
    </xf>
    <xf numFmtId="0" fontId="67" fillId="37" borderId="0" xfId="0" applyFont="1" applyFill="1" applyAlignment="1">
      <alignment vertical="center"/>
    </xf>
    <xf numFmtId="0" fontId="60" fillId="36" borderId="0" xfId="0" applyFont="1" applyFill="1" applyAlignment="1">
      <alignment wrapText="1"/>
    </xf>
    <xf numFmtId="0" fontId="60" fillId="36" borderId="0" xfId="0" applyFont="1" applyFill="1" applyAlignment="1">
      <alignment vertical="center" wrapText="1"/>
    </xf>
    <xf numFmtId="0" fontId="67" fillId="37" borderId="0" xfId="0" applyFont="1" applyFill="1" applyAlignment="1">
      <alignment horizontal="left" vertical="center" wrapText="1"/>
    </xf>
    <xf numFmtId="0" fontId="58" fillId="36" borderId="0" xfId="0" applyFont="1" applyFill="1" applyBorder="1" applyAlignment="1">
      <alignment horizontal="center"/>
    </xf>
    <xf numFmtId="0" fontId="58" fillId="36" borderId="0" xfId="0" applyFont="1" applyFill="1" applyAlignment="1">
      <alignment wrapText="1"/>
    </xf>
    <xf numFmtId="0" fontId="65" fillId="36" borderId="0" xfId="0" applyFont="1" applyFill="1" applyAlignment="1">
      <alignment/>
    </xf>
    <xf numFmtId="0" fontId="58" fillId="36" borderId="17" xfId="0" applyFont="1" applyFill="1" applyBorder="1" applyAlignment="1">
      <alignment horizontal="center" vertical="center" wrapText="1"/>
    </xf>
    <xf numFmtId="0" fontId="58" fillId="35" borderId="0" xfId="0" applyFont="1" applyFill="1" applyAlignment="1">
      <alignment vertical="top" wrapText="1"/>
    </xf>
    <xf numFmtId="0" fontId="72" fillId="36" borderId="0" xfId="0" applyFont="1" applyFill="1" applyAlignment="1">
      <alignment vertical="center"/>
    </xf>
    <xf numFmtId="1" fontId="58" fillId="36" borderId="15" xfId="0" applyNumberFormat="1" applyFont="1" applyFill="1" applyBorder="1" applyAlignment="1">
      <alignment horizontal="center" vertical="top"/>
    </xf>
    <xf numFmtId="0" fontId="64" fillId="35" borderId="15" xfId="0" applyFont="1" applyFill="1" applyBorder="1" applyAlignment="1">
      <alignment vertical="center" wrapText="1"/>
    </xf>
    <xf numFmtId="0" fontId="58" fillId="36" borderId="15" xfId="0" applyFont="1" applyFill="1" applyBorder="1" applyAlignment="1">
      <alignment vertical="top"/>
    </xf>
    <xf numFmtId="0" fontId="64" fillId="35" borderId="15" xfId="0" applyFont="1" applyFill="1" applyBorder="1" applyAlignment="1">
      <alignment horizontal="left" vertical="top" wrapText="1"/>
    </xf>
    <xf numFmtId="0" fontId="64" fillId="36" borderId="20" xfId="0" applyFont="1" applyFill="1" applyBorder="1" applyAlignment="1">
      <alignment horizontal="left" vertical="center"/>
    </xf>
    <xf numFmtId="0" fontId="64" fillId="36" borderId="21" xfId="0" applyFont="1" applyFill="1" applyBorder="1" applyAlignment="1">
      <alignment horizontal="left" vertical="center"/>
    </xf>
    <xf numFmtId="0" fontId="64" fillId="36" borderId="22" xfId="0" applyFont="1" applyFill="1" applyBorder="1" applyAlignment="1">
      <alignment horizontal="left" vertical="center"/>
    </xf>
    <xf numFmtId="0" fontId="64" fillId="36" borderId="23" xfId="0" applyFont="1" applyFill="1" applyBorder="1" applyAlignment="1">
      <alignment horizontal="left" vertical="center"/>
    </xf>
    <xf numFmtId="0" fontId="58" fillId="35" borderId="15" xfId="0" applyFont="1" applyFill="1" applyBorder="1" applyAlignment="1">
      <alignment vertical="top"/>
    </xf>
    <xf numFmtId="2" fontId="58" fillId="36" borderId="15" xfId="0" applyNumberFormat="1" applyFont="1" applyFill="1" applyBorder="1" applyAlignment="1">
      <alignment horizontal="center" vertical="top" wrapText="1"/>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xdr:col>
      <xdr:colOff>1343025</xdr:colOff>
      <xdr:row>51</xdr:row>
      <xdr:rowOff>38100</xdr:rowOff>
    </xdr:to>
    <xdr:grpSp>
      <xdr:nvGrpSpPr>
        <xdr:cNvPr id="1" name="Gruppe 54"/>
        <xdr:cNvGrpSpPr>
          <a:grpSpLocks/>
        </xdr:cNvGrpSpPr>
      </xdr:nvGrpSpPr>
      <xdr:grpSpPr>
        <a:xfrm>
          <a:off x="190500" y="9048750"/>
          <a:ext cx="1514475" cy="4610100"/>
          <a:chOff x="755576" y="1844824"/>
          <a:chExt cx="1514626" cy="3915432"/>
        </a:xfrm>
        <a:solidFill>
          <a:srgbClr val="FFFFFF"/>
        </a:solidFill>
      </xdr:grpSpPr>
      <xdr:grpSp>
        <xdr:nvGrpSpPr>
          <xdr:cNvPr id="2" name="Gruppe 55"/>
          <xdr:cNvGrpSpPr>
            <a:grpSpLocks/>
          </xdr:cNvGrpSpPr>
        </xdr:nvGrpSpPr>
        <xdr:grpSpPr>
          <a:xfrm>
            <a:off x="755576" y="2273564"/>
            <a:ext cx="1007984" cy="3486692"/>
            <a:chOff x="755576" y="2273807"/>
            <a:chExt cx="1008112" cy="3486449"/>
          </a:xfrm>
          <a:solidFill>
            <a:srgbClr val="FFFFFF"/>
          </a:solidFill>
        </xdr:grpSpPr>
        <xdr:grpSp>
          <xdr:nvGrpSpPr>
            <xdr:cNvPr id="3" name="Gruppe 57"/>
            <xdr:cNvGrpSpPr>
              <a:grpSpLocks/>
            </xdr:cNvGrpSpPr>
          </xdr:nvGrpSpPr>
          <xdr:grpSpPr>
            <a:xfrm>
              <a:off x="1343053" y="2421109"/>
              <a:ext cx="420635" cy="3312127"/>
              <a:chOff x="1115616" y="2420888"/>
              <a:chExt cx="420539" cy="3312368"/>
            </a:xfrm>
            <a:solidFill>
              <a:srgbClr val="FFFFFF"/>
            </a:solidFill>
          </xdr:grpSpPr>
          <xdr:sp>
            <xdr:nvSpPr>
              <xdr:cNvPr id="4" name="Rektangel 68"/>
              <xdr:cNvSpPr>
                <a:spLocks/>
              </xdr:cNvSpPr>
            </xdr:nvSpPr>
            <xdr:spPr>
              <a:xfrm>
                <a:off x="1118665" y="2417577"/>
                <a:ext cx="419172" cy="790828"/>
              </a:xfrm>
              <a:prstGeom prst="rect">
                <a:avLst/>
              </a:prstGeom>
              <a:gradFill rotWithShape="1">
                <a:gsLst>
                  <a:gs pos="0">
                    <a:srgbClr val="4F81BD"/>
                  </a:gs>
                  <a:gs pos="0">
                    <a:srgbClr val="4F81BD"/>
                  </a:gs>
                  <a:gs pos="45000">
                    <a:srgbClr val="00B050"/>
                  </a:gs>
                  <a:gs pos="70000">
                    <a:srgbClr val="92D050"/>
                  </a:gs>
                  <a:gs pos="100000">
                    <a:srgbClr val="FFC000"/>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sp>
            <xdr:nvSpPr>
              <xdr:cNvPr id="5" name="Rektangel 69"/>
              <xdr:cNvSpPr>
                <a:spLocks/>
              </xdr:cNvSpPr>
            </xdr:nvSpPr>
            <xdr:spPr>
              <a:xfrm>
                <a:off x="1118665" y="3206747"/>
                <a:ext cx="419172" cy="1734025"/>
              </a:xfrm>
              <a:prstGeom prst="rect">
                <a:avLst/>
              </a:prstGeom>
              <a:solidFill>
                <a:srgbClr val="FFC000"/>
              </a:solidFill>
              <a:ln w="9525" cmpd="sng">
                <a:noFill/>
              </a:ln>
            </xdr:spPr>
            <xdr:txBody>
              <a:bodyPr vertOverflow="clip" wrap="square" anchor="ctr"/>
              <a:p>
                <a:pPr algn="l">
                  <a:defRPr/>
                </a:pPr>
                <a:r>
                  <a:rPr lang="en-US" cap="none" u="none" baseline="0">
                    <a:latin typeface="Calibri"/>
                    <a:ea typeface="Calibri"/>
                    <a:cs typeface="Calibri"/>
                  </a:rPr>
                  <a:t/>
                </a:r>
              </a:p>
            </xdr:txBody>
          </xdr:sp>
          <xdr:sp>
            <xdr:nvSpPr>
              <xdr:cNvPr id="6" name="Rektangel 70"/>
              <xdr:cNvSpPr>
                <a:spLocks/>
              </xdr:cNvSpPr>
            </xdr:nvSpPr>
            <xdr:spPr>
              <a:xfrm>
                <a:off x="1118665" y="4798340"/>
                <a:ext cx="419172" cy="933260"/>
              </a:xfrm>
              <a:prstGeom prst="rect">
                <a:avLst/>
              </a:prstGeom>
              <a:gradFill rotWithShape="1">
                <a:gsLst>
                  <a:gs pos="0">
                    <a:srgbClr val="FFC000"/>
                  </a:gs>
                  <a:gs pos="45000">
                    <a:srgbClr val="FF7A00"/>
                  </a:gs>
                  <a:gs pos="70000">
                    <a:srgbClr val="FF0000"/>
                  </a:gs>
                  <a:gs pos="100000">
                    <a:srgbClr val="C00000"/>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grpSp>
        <xdr:sp>
          <xdr:nvSpPr>
            <xdr:cNvPr id="7" name="Tekstboks 8"/>
            <xdr:cNvSpPr txBox="1">
              <a:spLocks noChangeArrowheads="1"/>
            </xdr:cNvSpPr>
          </xdr:nvSpPr>
          <xdr:spPr>
            <a:xfrm>
              <a:off x="755576" y="2273807"/>
              <a:ext cx="590502" cy="257126"/>
            </a:xfrm>
            <a:prstGeom prst="rect">
              <a:avLst/>
            </a:prstGeom>
            <a:noFill/>
            <a:ln w="9525" cmpd="sng">
              <a:noFill/>
            </a:ln>
          </xdr:spPr>
          <xdr:txBody>
            <a:bodyPr vertOverflow="clip" wrap="square"/>
            <a:p>
              <a:pPr algn="l">
                <a:defRPr/>
              </a:pPr>
              <a:r>
                <a:rPr lang="en-US" cap="none" sz="1100" b="0" i="0" u="none" baseline="0">
                  <a:solidFill>
                    <a:srgbClr val="000000"/>
                  </a:solidFill>
                </a:rPr>
                <a:t>100</a:t>
              </a:r>
            </a:p>
          </xdr:txBody>
        </xdr:sp>
        <xdr:sp>
          <xdr:nvSpPr>
            <xdr:cNvPr id="8" name="Tekstboks 11"/>
            <xdr:cNvSpPr txBox="1">
              <a:spLocks noChangeArrowheads="1"/>
            </xdr:cNvSpPr>
          </xdr:nvSpPr>
          <xdr:spPr>
            <a:xfrm>
              <a:off x="755576" y="3493193"/>
              <a:ext cx="590502" cy="257126"/>
            </a:xfrm>
            <a:prstGeom prst="rect">
              <a:avLst/>
            </a:prstGeom>
            <a:noFill/>
            <a:ln w="9525" cmpd="sng">
              <a:noFill/>
            </a:ln>
          </xdr:spPr>
          <xdr:txBody>
            <a:bodyPr vertOverflow="clip" wrap="square"/>
            <a:p>
              <a:pPr algn="l">
                <a:defRPr/>
              </a:pPr>
              <a:r>
                <a:rPr lang="en-US" cap="none" sz="1100" b="0" i="0" u="none" baseline="0">
                  <a:solidFill>
                    <a:srgbClr val="000000"/>
                  </a:solidFill>
                </a:rPr>
                <a:t>  60</a:t>
              </a:r>
            </a:p>
          </xdr:txBody>
        </xdr:sp>
        <xdr:sp>
          <xdr:nvSpPr>
            <xdr:cNvPr id="9" name="Tekstboks 12"/>
            <xdr:cNvSpPr txBox="1">
              <a:spLocks noChangeArrowheads="1"/>
            </xdr:cNvSpPr>
          </xdr:nvSpPr>
          <xdr:spPr>
            <a:xfrm>
              <a:off x="974588" y="5503130"/>
              <a:ext cx="371489" cy="257126"/>
            </a:xfrm>
            <a:prstGeom prst="rect">
              <a:avLst/>
            </a:prstGeom>
            <a:noFill/>
            <a:ln w="9525" cmpd="sng">
              <a:noFill/>
            </a:ln>
          </xdr:spPr>
          <xdr:txBody>
            <a:bodyPr vertOverflow="clip" wrap="square"/>
            <a:p>
              <a:pPr algn="l">
                <a:defRPr/>
              </a:pPr>
              <a:r>
                <a:rPr lang="en-US" cap="none" sz="1100" b="0" i="0" u="none" baseline="0">
                  <a:solidFill>
                    <a:srgbClr val="000000"/>
                  </a:solidFill>
                </a:rPr>
                <a:t>0</a:t>
              </a:r>
            </a:p>
          </xdr:txBody>
        </xdr:sp>
        <xdr:sp>
          <xdr:nvSpPr>
            <xdr:cNvPr id="10" name="Tekstboks 13"/>
            <xdr:cNvSpPr txBox="1">
              <a:spLocks noChangeArrowheads="1"/>
            </xdr:cNvSpPr>
          </xdr:nvSpPr>
          <xdr:spPr>
            <a:xfrm>
              <a:off x="755576" y="4150388"/>
              <a:ext cx="590502" cy="257126"/>
            </a:xfrm>
            <a:prstGeom prst="rect">
              <a:avLst/>
            </a:prstGeom>
            <a:noFill/>
            <a:ln w="9525" cmpd="sng">
              <a:noFill/>
            </a:ln>
          </xdr:spPr>
          <xdr:txBody>
            <a:bodyPr vertOverflow="clip" wrap="square"/>
            <a:p>
              <a:pPr algn="l">
                <a:defRPr/>
              </a:pPr>
              <a:r>
                <a:rPr lang="en-US" cap="none" sz="1100" b="0" i="0" u="none" baseline="0">
                  <a:solidFill>
                    <a:srgbClr val="000000"/>
                  </a:solidFill>
                </a:rPr>
                <a:t>  40</a:t>
              </a:r>
            </a:p>
          </xdr:txBody>
        </xdr:sp>
        <xdr:sp>
          <xdr:nvSpPr>
            <xdr:cNvPr id="11" name="Tekstboks 14"/>
            <xdr:cNvSpPr txBox="1">
              <a:spLocks noChangeArrowheads="1"/>
            </xdr:cNvSpPr>
          </xdr:nvSpPr>
          <xdr:spPr>
            <a:xfrm>
              <a:off x="755576" y="4865110"/>
              <a:ext cx="590502" cy="257126"/>
            </a:xfrm>
            <a:prstGeom prst="rect">
              <a:avLst/>
            </a:prstGeom>
            <a:noFill/>
            <a:ln w="9525" cmpd="sng">
              <a:noFill/>
            </a:ln>
          </xdr:spPr>
          <xdr:txBody>
            <a:bodyPr vertOverflow="clip" wrap="square"/>
            <a:p>
              <a:pPr algn="l">
                <a:defRPr/>
              </a:pPr>
              <a:r>
                <a:rPr lang="en-US" cap="none" sz="1100" b="0" i="0" u="none" baseline="0">
                  <a:solidFill>
                    <a:srgbClr val="000000"/>
                  </a:solidFill>
                </a:rPr>
                <a:t>  20</a:t>
              </a:r>
            </a:p>
          </xdr:txBody>
        </xdr:sp>
        <xdr:sp>
          <xdr:nvSpPr>
            <xdr:cNvPr id="12" name="Tekstboks 15"/>
            <xdr:cNvSpPr txBox="1">
              <a:spLocks noChangeArrowheads="1"/>
            </xdr:cNvSpPr>
          </xdr:nvSpPr>
          <xdr:spPr>
            <a:xfrm>
              <a:off x="755576" y="2911827"/>
              <a:ext cx="590502" cy="257126"/>
            </a:xfrm>
            <a:prstGeom prst="rect">
              <a:avLst/>
            </a:prstGeom>
            <a:noFill/>
            <a:ln w="9525" cmpd="sng">
              <a:noFill/>
            </a:ln>
          </xdr:spPr>
          <xdr:txBody>
            <a:bodyPr vertOverflow="clip" wrap="square"/>
            <a:p>
              <a:pPr algn="l">
                <a:defRPr/>
              </a:pPr>
              <a:r>
                <a:rPr lang="en-US" cap="none" sz="1100" b="0" i="0" u="none" baseline="0">
                  <a:solidFill>
                    <a:srgbClr val="000000"/>
                  </a:solidFill>
                </a:rPr>
                <a:t>  80</a:t>
              </a:r>
            </a:p>
          </xdr:txBody>
        </xdr:sp>
        <xdr:sp>
          <xdr:nvSpPr>
            <xdr:cNvPr id="13" name="Tekstboks 16"/>
            <xdr:cNvSpPr txBox="1">
              <a:spLocks noChangeArrowheads="1"/>
            </xdr:cNvSpPr>
          </xdr:nvSpPr>
          <xdr:spPr>
            <a:xfrm>
              <a:off x="2051000" y="2387988"/>
              <a:ext cx="5477325" cy="457596"/>
            </a:xfrm>
            <a:prstGeom prst="rect">
              <a:avLst/>
            </a:prstGeom>
            <a:noFill/>
            <a:ln w="9525" cmpd="sng">
              <a:noFill/>
            </a:ln>
          </xdr:spPr>
          <xdr:txBody>
            <a:bodyPr vertOverflow="clip" wrap="square"/>
            <a:p>
              <a:pPr algn="l">
                <a:defRPr/>
              </a:pPr>
              <a:r>
                <a:rPr lang="en-US" cap="none" sz="1200" b="0" i="0" u="none" baseline="0">
                  <a:solidFill>
                    <a:srgbClr val="000000"/>
                  </a:solidFill>
                </a:rPr>
                <a:t>Du udnytter alle muligheder for at forebygge problemer med ukrudt, svampe og skadedyr, og bekæmper disse efter nøje at have vurderet behovet.</a:t>
              </a:r>
            </a:p>
          </xdr:txBody>
        </xdr:sp>
        <xdr:sp>
          <xdr:nvSpPr>
            <xdr:cNvPr id="14" name="Tekstboks 17"/>
            <xdr:cNvSpPr txBox="1">
              <a:spLocks noChangeArrowheads="1"/>
            </xdr:cNvSpPr>
          </xdr:nvSpPr>
          <xdr:spPr>
            <a:xfrm>
              <a:off x="2051000" y="5159715"/>
              <a:ext cx="5477325" cy="638020"/>
            </a:xfrm>
            <a:prstGeom prst="rect">
              <a:avLst/>
            </a:prstGeom>
            <a:noFill/>
            <a:ln w="9525" cmpd="sng">
              <a:noFill/>
            </a:ln>
          </xdr:spPr>
          <xdr:txBody>
            <a:bodyPr vertOverflow="clip" wrap="square"/>
            <a:p>
              <a:pPr algn="l">
                <a:defRPr/>
              </a:pPr>
              <a:r>
                <a:rPr lang="en-US" cap="none" sz="1200" b="0" i="0" u="none" baseline="0">
                  <a:solidFill>
                    <a:srgbClr val="000000"/>
                  </a:solidFill>
                </a:rPr>
                <a:t>Det vil givetvis være økonomisk fordelagtigt at udnytte mulighederne for at forebygge problemer med ukrudt, svampe og skadedyr og at bekæmper disse efter behov.</a:t>
              </a:r>
            </a:p>
          </xdr:txBody>
        </xdr:sp>
        <xdr:sp>
          <xdr:nvSpPr>
            <xdr:cNvPr id="15" name="Tekstboks 18"/>
            <xdr:cNvSpPr txBox="1">
              <a:spLocks noChangeArrowheads="1"/>
            </xdr:cNvSpPr>
          </xdr:nvSpPr>
          <xdr:spPr>
            <a:xfrm>
              <a:off x="2051000" y="3178541"/>
              <a:ext cx="5477325" cy="647608"/>
            </a:xfrm>
            <a:prstGeom prst="rect">
              <a:avLst/>
            </a:prstGeom>
            <a:noFill/>
            <a:ln w="9525" cmpd="sng">
              <a:noFill/>
            </a:ln>
          </xdr:spPr>
          <xdr:txBody>
            <a:bodyPr vertOverflow="clip" wrap="square"/>
            <a:p>
              <a:pPr algn="l">
                <a:defRPr/>
              </a:pPr>
              <a:r>
                <a:rPr lang="en-US" cap="none" sz="1200" b="0" i="0" u="none" baseline="0">
                  <a:solidFill>
                    <a:srgbClr val="000000"/>
                  </a:solidFill>
                </a:rPr>
                <a:t>Det ser ud til, at der fortsat er nogle uudnyttede muligheder for at forebygge problemer med ukrudt, svampe og skadedyr, og blive mere målrettet ved vurdering af behov for bekæmpelse og udførelse af sprøjtearbejdet.</a:t>
              </a:r>
            </a:p>
          </xdr:txBody>
        </xdr:sp>
        <xdr:sp>
          <xdr:nvSpPr>
            <xdr:cNvPr id="16" name="Tekstboks 19"/>
            <xdr:cNvSpPr txBox="1">
              <a:spLocks noChangeArrowheads="1"/>
            </xdr:cNvSpPr>
          </xdr:nvSpPr>
          <xdr:spPr>
            <a:xfrm>
              <a:off x="2051000" y="4150388"/>
              <a:ext cx="5477325" cy="457596"/>
            </a:xfrm>
            <a:prstGeom prst="rect">
              <a:avLst/>
            </a:prstGeom>
            <a:noFill/>
            <a:ln w="9525" cmpd="sng">
              <a:noFill/>
            </a:ln>
          </xdr:spPr>
          <xdr:txBody>
            <a:bodyPr vertOverflow="clip" wrap="square"/>
            <a:p>
              <a:pPr algn="l">
                <a:defRPr/>
              </a:pPr>
              <a:r>
                <a:rPr lang="en-US" cap="none" sz="1200" b="0" i="0" u="none" baseline="0">
                  <a:solidFill>
                    <a:srgbClr val="000000"/>
                  </a:solidFill>
                </a:rPr>
                <a:t>På punkter med få point i forhold til de mulige, vil der sikkert være gode muligheder for at forbedre din nuværende drift.</a:t>
              </a:r>
            </a:p>
          </xdr:txBody>
        </xdr:sp>
      </xdr:grpSp>
      <xdr:sp>
        <xdr:nvSpPr>
          <xdr:cNvPr id="17" name="Tekstboks 21"/>
          <xdr:cNvSpPr txBox="1">
            <a:spLocks noChangeArrowheads="1"/>
          </xdr:cNvSpPr>
        </xdr:nvSpPr>
        <xdr:spPr>
          <a:xfrm>
            <a:off x="964973" y="1844824"/>
            <a:ext cx="1305229" cy="269186"/>
          </a:xfrm>
          <a:prstGeom prst="rect">
            <a:avLst/>
          </a:prstGeom>
          <a:noFill/>
          <a:ln w="9525" cmpd="sng">
            <a:noFill/>
          </a:ln>
        </xdr:spPr>
        <xdr:txBody>
          <a:bodyPr vertOverflow="clip" wrap="square"/>
          <a:p>
            <a:pPr algn="l">
              <a:defRPr/>
            </a:pPr>
            <a:r>
              <a:rPr lang="en-US" cap="none" sz="1200" b="1" i="0" u="none" baseline="0">
                <a:solidFill>
                  <a:srgbClr val="000000"/>
                </a:solidFill>
              </a:rPr>
              <a:t>IPM-point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16"/>
  <dimension ref="B2:F26"/>
  <sheetViews>
    <sheetView tabSelected="1" workbookViewId="0" topLeftCell="A1">
      <selection activeCell="B17" sqref="B17"/>
    </sheetView>
  </sheetViews>
  <sheetFormatPr defaultColWidth="9.140625" defaultRowHeight="15"/>
  <cols>
    <col min="1" max="1" width="3.7109375" style="48" customWidth="1"/>
    <col min="2" max="2" width="104.00390625" style="58" customWidth="1"/>
    <col min="3" max="3" width="2.8515625" style="48" customWidth="1"/>
    <col min="4" max="16384" width="9.140625" style="48" customWidth="1"/>
  </cols>
  <sheetData>
    <row r="1" ht="12.75"/>
    <row r="2" ht="24" customHeight="1">
      <c r="B2" s="141" t="s">
        <v>353</v>
      </c>
    </row>
    <row r="3" s="103" customFormat="1" ht="62.25" customHeight="1">
      <c r="B3" s="173" t="s">
        <v>354</v>
      </c>
    </row>
    <row r="4" s="103" customFormat="1" ht="12.75">
      <c r="B4" s="174" t="s">
        <v>351</v>
      </c>
    </row>
    <row r="5" s="103" customFormat="1" ht="16.5" customHeight="1">
      <c r="B5" s="152"/>
    </row>
    <row r="6" s="103" customFormat="1" ht="12.75">
      <c r="B6" s="153" t="s">
        <v>357</v>
      </c>
    </row>
    <row r="8" ht="50.25" customHeight="1">
      <c r="B8" s="176" t="s">
        <v>355</v>
      </c>
    </row>
    <row r="9" ht="140.25" customHeight="1">
      <c r="B9" s="176" t="s">
        <v>374</v>
      </c>
    </row>
    <row r="10" ht="32.25" customHeight="1">
      <c r="B10" s="176" t="s">
        <v>356</v>
      </c>
    </row>
    <row r="11" ht="37.5" customHeight="1">
      <c r="B11" s="176" t="s">
        <v>373</v>
      </c>
    </row>
    <row r="13" ht="12.75">
      <c r="B13" s="153" t="s">
        <v>357</v>
      </c>
    </row>
    <row r="26" spans="2:6" ht="18">
      <c r="B26" s="283"/>
      <c r="C26" s="283"/>
      <c r="D26" s="283"/>
      <c r="E26" s="283"/>
      <c r="F26" s="283"/>
    </row>
  </sheetData>
  <sheetProtection/>
  <mergeCells count="1">
    <mergeCell ref="B26:F26"/>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Ark10"/>
  <dimension ref="A1:AI40"/>
  <sheetViews>
    <sheetView zoomScalePageLayoutView="0" workbookViewId="0" topLeftCell="A5">
      <selection activeCell="A5" sqref="A5"/>
    </sheetView>
  </sheetViews>
  <sheetFormatPr defaultColWidth="9.140625" defaultRowHeight="15"/>
  <cols>
    <col min="1" max="1" width="3.8515625" style="48" customWidth="1"/>
    <col min="2" max="2" width="70.140625" style="45" customWidth="1"/>
    <col min="3" max="3" width="15.57421875" style="47" customWidth="1"/>
    <col min="4" max="4" width="15.57421875" style="112" hidden="1" customWidth="1"/>
    <col min="5" max="5" width="8.7109375" style="1" hidden="1" customWidth="1"/>
    <col min="6" max="6" width="14.28125" style="3" hidden="1" customWidth="1"/>
    <col min="7" max="7" width="14.28125" style="13" hidden="1" customWidth="1"/>
    <col min="8" max="8" width="9.140625" style="48" customWidth="1"/>
    <col min="9" max="9" width="18.57421875" style="48" bestFit="1" customWidth="1"/>
    <col min="10" max="35" width="9.140625" style="48" customWidth="1"/>
    <col min="36" max="16384" width="9.140625" style="1" customWidth="1"/>
  </cols>
  <sheetData>
    <row r="1" spans="2:7" s="69" customFormat="1" ht="12.75" hidden="1">
      <c r="B1" s="76"/>
      <c r="C1" s="71"/>
      <c r="D1" s="112"/>
      <c r="F1" s="77"/>
      <c r="G1" s="91"/>
    </row>
    <row r="2" spans="2:7" s="69" customFormat="1" ht="12.75" hidden="1">
      <c r="B2" s="76" t="s">
        <v>47</v>
      </c>
      <c r="C2" s="71"/>
      <c r="D2" s="112"/>
      <c r="F2" s="77"/>
      <c r="G2" s="91"/>
    </row>
    <row r="3" spans="2:7" s="69" customFormat="1" ht="25.5" hidden="1">
      <c r="B3" s="76" t="s">
        <v>42</v>
      </c>
      <c r="C3" s="71"/>
      <c r="D3" s="112"/>
      <c r="F3" s="77"/>
      <c r="G3" s="91"/>
    </row>
    <row r="4" spans="2:7" s="69" customFormat="1" ht="12.75" hidden="1">
      <c r="B4" s="76" t="s">
        <v>1</v>
      </c>
      <c r="C4" s="71">
        <f>+'IPM-point'!E18</f>
        <v>8</v>
      </c>
      <c r="D4" s="112"/>
      <c r="F4" s="77"/>
      <c r="G4" s="91"/>
    </row>
    <row r="5" ht="32.25" customHeight="1"/>
    <row r="6" spans="2:4" ht="31.5" customHeight="1">
      <c r="B6" s="140" t="s">
        <v>183</v>
      </c>
      <c r="C6" s="116"/>
      <c r="D6" s="118"/>
    </row>
    <row r="7" spans="2:7" ht="27.75" customHeight="1">
      <c r="B7" s="64"/>
      <c r="C7" s="63"/>
      <c r="D7" s="111"/>
      <c r="E7" s="5" t="s">
        <v>25</v>
      </c>
      <c r="F7" s="14" t="s">
        <v>23</v>
      </c>
      <c r="G7" s="39" t="s">
        <v>21</v>
      </c>
    </row>
    <row r="8" spans="1:35" s="12" customFormat="1" ht="20.25" customHeight="1">
      <c r="A8" s="60"/>
      <c r="B8" s="64"/>
      <c r="C8" s="63"/>
      <c r="D8" s="111">
        <v>0</v>
      </c>
      <c r="E8" s="17">
        <f>IF(D8=2,G8,0)</f>
        <v>0</v>
      </c>
      <c r="F8" s="18">
        <f>+($C$4/100)*(E8/$G$38)</f>
        <v>0</v>
      </c>
      <c r="G8" s="42">
        <v>10</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2:7" ht="36.75" customHeight="1">
      <c r="B9" s="64" t="s">
        <v>151</v>
      </c>
      <c r="C9" s="63"/>
      <c r="D9" s="111"/>
      <c r="E9" s="44"/>
      <c r="F9" s="18">
        <f>IF(1a!C15+1a!C20+1a!C21+1a!C22+1a!C24&gt;0,0,F8)</f>
        <v>0</v>
      </c>
      <c r="G9" s="29"/>
    </row>
    <row r="10" spans="2:7" ht="12.75">
      <c r="B10" s="64"/>
      <c r="C10" s="172" t="s">
        <v>344</v>
      </c>
      <c r="D10" s="111"/>
      <c r="E10" s="44"/>
      <c r="F10" s="18"/>
      <c r="G10" s="29"/>
    </row>
    <row r="11" spans="2:7" ht="12.75">
      <c r="B11" s="64"/>
      <c r="C11" s="63"/>
      <c r="D11" s="111"/>
      <c r="E11" s="44"/>
      <c r="F11" s="18"/>
      <c r="G11" s="29"/>
    </row>
    <row r="12" spans="2:7" ht="17.25" customHeight="1">
      <c r="B12" s="289" t="s">
        <v>152</v>
      </c>
      <c r="C12" s="289"/>
      <c r="D12" s="111"/>
      <c r="E12" s="44"/>
      <c r="F12" s="18"/>
      <c r="G12" s="29"/>
    </row>
    <row r="13" spans="2:7" ht="12.75">
      <c r="B13" s="65"/>
      <c r="C13" s="63"/>
      <c r="D13" s="111"/>
      <c r="E13" s="17"/>
      <c r="F13" s="18"/>
      <c r="G13" s="40">
        <f>IF(1a!E15&gt;0,G15,0)</f>
        <v>0</v>
      </c>
    </row>
    <row r="14" spans="2:7" ht="20.25" customHeight="1">
      <c r="B14" s="64"/>
      <c r="C14" s="63"/>
      <c r="D14" s="111">
        <v>0</v>
      </c>
      <c r="E14" s="17">
        <f>IF(D14=1,G14,0)</f>
        <v>0</v>
      </c>
      <c r="F14" s="18">
        <f>+($C$4/100)*(E14/$G$38)</f>
        <v>0</v>
      </c>
      <c r="G14" s="41">
        <v>0</v>
      </c>
    </row>
    <row r="15" spans="2:7" ht="20.25" customHeight="1">
      <c r="B15" s="64"/>
      <c r="C15" s="63"/>
      <c r="D15" s="111"/>
      <c r="E15" s="17">
        <f>IF(D14=2,G15,0)</f>
        <v>0</v>
      </c>
      <c r="F15" s="18">
        <f>+($C$4/100)*(E15/$G$38)</f>
        <v>0</v>
      </c>
      <c r="G15" s="41">
        <v>10</v>
      </c>
    </row>
    <row r="16" spans="2:7" ht="20.25" customHeight="1">
      <c r="B16" s="64"/>
      <c r="C16" s="63"/>
      <c r="D16" s="111"/>
      <c r="E16" s="17">
        <f>IF(D14=3,G16,0)</f>
        <v>0</v>
      </c>
      <c r="F16" s="18">
        <f>+($C$4/100)*(E16/$G$38)</f>
        <v>0</v>
      </c>
      <c r="G16" s="41">
        <v>5</v>
      </c>
    </row>
    <row r="17" spans="2:7" ht="12.75">
      <c r="B17" s="64"/>
      <c r="C17" s="63"/>
      <c r="E17" s="8"/>
      <c r="F17" s="38">
        <f>SUM(F14:F16)</f>
        <v>0</v>
      </c>
      <c r="G17" s="9"/>
    </row>
    <row r="18" spans="2:7" ht="16.5" customHeight="1">
      <c r="B18" s="65"/>
      <c r="C18" s="63"/>
      <c r="E18" s="8"/>
      <c r="F18" s="38"/>
      <c r="G18" s="9">
        <f>IF(OR(1a!E21&gt;0,1a!E22&gt;0),G20,0)</f>
        <v>0</v>
      </c>
    </row>
    <row r="19" spans="2:7" ht="20.25" customHeight="1">
      <c r="B19" s="64"/>
      <c r="C19" s="63"/>
      <c r="D19" s="111">
        <v>0</v>
      </c>
      <c r="E19" s="17">
        <f>IF(D19=1,G19,0)</f>
        <v>0</v>
      </c>
      <c r="F19" s="18">
        <f>+($C$4/100)*(E19/$G$38)</f>
        <v>0</v>
      </c>
      <c r="G19" s="41">
        <v>0</v>
      </c>
    </row>
    <row r="20" spans="2:7" ht="20.25" customHeight="1">
      <c r="B20" s="64"/>
      <c r="C20" s="63"/>
      <c r="D20" s="111"/>
      <c r="E20" s="17">
        <f>IF(D19=2,G20,0)</f>
        <v>0</v>
      </c>
      <c r="F20" s="18">
        <f>+($C$4/100)*(E20/$G$38)</f>
        <v>0</v>
      </c>
      <c r="G20" s="41">
        <v>10</v>
      </c>
    </row>
    <row r="21" spans="2:7" ht="20.25" customHeight="1">
      <c r="B21" s="64"/>
      <c r="C21" s="63"/>
      <c r="D21" s="111"/>
      <c r="E21" s="17">
        <f>IF(D19=3,G21,0)</f>
        <v>0</v>
      </c>
      <c r="F21" s="18">
        <f>+($C$4/100)*(E21/$G$38)</f>
        <v>0</v>
      </c>
      <c r="G21" s="41">
        <v>5</v>
      </c>
    </row>
    <row r="22" spans="2:7" ht="12.75">
      <c r="B22" s="64"/>
      <c r="C22" s="63"/>
      <c r="E22" s="8"/>
      <c r="F22" s="38">
        <f>SUM(F19:F21)</f>
        <v>0</v>
      </c>
      <c r="G22" s="9"/>
    </row>
    <row r="23" spans="1:35" s="12" customFormat="1" ht="12.75">
      <c r="A23" s="60"/>
      <c r="B23" s="65"/>
      <c r="C23" s="63"/>
      <c r="D23" s="111"/>
      <c r="E23" s="21"/>
      <c r="F23" s="23"/>
      <c r="G23" s="27">
        <f>IF(1a!E20&gt;0,G27,0)</f>
        <v>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row>
    <row r="24" spans="1:35" s="12" customFormat="1" ht="20.25" customHeight="1">
      <c r="A24" s="60"/>
      <c r="B24" s="64"/>
      <c r="C24" s="63"/>
      <c r="D24" s="111">
        <v>0</v>
      </c>
      <c r="E24" s="17">
        <f>IF(D24=1,G24,0)</f>
        <v>0</v>
      </c>
      <c r="F24" s="18">
        <f>+($C$4/100)*(E24/$G$38)</f>
        <v>0</v>
      </c>
      <c r="G24" s="42">
        <v>0</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row>
    <row r="25" spans="1:35" s="12" customFormat="1" ht="20.25" customHeight="1">
      <c r="A25" s="60"/>
      <c r="B25" s="64"/>
      <c r="C25" s="63"/>
      <c r="D25" s="111"/>
      <c r="E25" s="17">
        <f>IF(D24=2,G25,0)</f>
        <v>0</v>
      </c>
      <c r="F25" s="18">
        <f>+($C$4/100)*(E25/$G$38)</f>
        <v>0</v>
      </c>
      <c r="G25" s="42">
        <v>8</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row>
    <row r="26" spans="1:35" s="12" customFormat="1" ht="20.25" customHeight="1">
      <c r="A26" s="60"/>
      <c r="B26" s="64"/>
      <c r="C26" s="63"/>
      <c r="D26" s="111"/>
      <c r="E26" s="17">
        <f>IF(D24=3,G26,0)</f>
        <v>0</v>
      </c>
      <c r="F26" s="18">
        <f>+($C$4/100)*(E26/$G$38)</f>
        <v>0</v>
      </c>
      <c r="G26" s="42">
        <v>5</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row>
    <row r="27" spans="1:35" s="12" customFormat="1" ht="20.25" customHeight="1">
      <c r="A27" s="60"/>
      <c r="B27" s="64"/>
      <c r="C27" s="63"/>
      <c r="D27" s="111"/>
      <c r="E27" s="17">
        <f>IF(D24=4,G27,0)</f>
        <v>0</v>
      </c>
      <c r="F27" s="18">
        <f>+($C$4/100)*(E27/$G$38)</f>
        <v>0</v>
      </c>
      <c r="G27" s="42">
        <v>10</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1:35" s="12" customFormat="1" ht="12.75">
      <c r="A28" s="60"/>
      <c r="B28" s="64"/>
      <c r="C28" s="63"/>
      <c r="D28" s="111"/>
      <c r="E28" s="21"/>
      <c r="F28" s="23">
        <f>SUM(F24:F27)</f>
        <v>0</v>
      </c>
      <c r="G28" s="27"/>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row>
    <row r="29" spans="1:35" s="12" customFormat="1" ht="13.5" customHeight="1">
      <c r="A29" s="60"/>
      <c r="B29" s="65"/>
      <c r="C29" s="63"/>
      <c r="D29" s="111"/>
      <c r="E29" s="21"/>
      <c r="F29" s="23"/>
      <c r="G29" s="27">
        <f>IF(1a!E24&gt;0,G31,0)</f>
        <v>0</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row>
    <row r="30" spans="1:35" s="12" customFormat="1" ht="20.25" customHeight="1">
      <c r="A30" s="60"/>
      <c r="B30" s="64"/>
      <c r="C30" s="63"/>
      <c r="D30" s="111">
        <v>0</v>
      </c>
      <c r="E30" s="17">
        <f>IF(D30=1,G30,0)</f>
        <v>0</v>
      </c>
      <c r="F30" s="18">
        <f>+($C$4/100)*(E30/$G$38)</f>
        <v>0</v>
      </c>
      <c r="G30" s="42">
        <v>0</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1" spans="1:35" s="12" customFormat="1" ht="20.25" customHeight="1">
      <c r="A31" s="60"/>
      <c r="B31" s="64"/>
      <c r="C31" s="63"/>
      <c r="D31" s="111"/>
      <c r="E31" s="17">
        <f>IF(D30=2,G31,0)</f>
        <v>0</v>
      </c>
      <c r="F31" s="18">
        <f>+($C$4/100)*(E31/$G$38)</f>
        <v>0</v>
      </c>
      <c r="G31" s="42">
        <v>10</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12" customFormat="1" ht="20.25" customHeight="1">
      <c r="A32" s="60"/>
      <c r="B32" s="64"/>
      <c r="C32" s="63"/>
      <c r="D32" s="111"/>
      <c r="E32" s="17">
        <f>IF(D30=3,G32,0)</f>
        <v>0</v>
      </c>
      <c r="F32" s="18">
        <f>+($C$4/100)*(E32/$G$38)</f>
        <v>0</v>
      </c>
      <c r="G32" s="42">
        <v>5</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12" customFormat="1" ht="12.75">
      <c r="A33" s="60"/>
      <c r="B33" s="64"/>
      <c r="C33" s="63"/>
      <c r="D33" s="111"/>
      <c r="E33" s="21"/>
      <c r="F33" s="23">
        <f>SUM(F30:F32)</f>
        <v>0</v>
      </c>
      <c r="G33" s="27"/>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2:3" ht="12.75">
      <c r="B34" s="64"/>
      <c r="C34" s="63"/>
    </row>
    <row r="35" spans="1:35" s="12" customFormat="1" ht="12.75">
      <c r="A35" s="60"/>
      <c r="B35" s="154" t="s">
        <v>344</v>
      </c>
      <c r="C35" s="63"/>
      <c r="D35" s="111"/>
      <c r="E35" s="21"/>
      <c r="F35" s="23"/>
      <c r="G35" s="2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row>
    <row r="36" spans="1:35" s="12" customFormat="1" ht="12.75">
      <c r="A36" s="60"/>
      <c r="B36" s="64"/>
      <c r="C36" s="63"/>
      <c r="D36" s="111"/>
      <c r="E36" s="21"/>
      <c r="F36" s="23"/>
      <c r="G36" s="27"/>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row>
    <row r="37" spans="1:35" s="12" customFormat="1" ht="12.75">
      <c r="A37" s="60"/>
      <c r="B37" s="64"/>
      <c r="C37" s="63"/>
      <c r="D37" s="111"/>
      <c r="E37" s="21"/>
      <c r="F37" s="23"/>
      <c r="G37" s="27"/>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row>
    <row r="38" spans="1:35" s="12" customFormat="1" ht="12.75" hidden="1">
      <c r="A38" s="35"/>
      <c r="B38" s="83" t="s">
        <v>50</v>
      </c>
      <c r="C38" s="70"/>
      <c r="D38" s="111"/>
      <c r="E38" s="21">
        <f>SUM(E14:E32)</f>
        <v>0</v>
      </c>
      <c r="F38" s="23">
        <f>+F17+F22+F28+F33+F9</f>
        <v>0</v>
      </c>
      <c r="G38" s="27">
        <f>IF(+G13+G18+G23+G29&gt;0,+G13+G18+G23+G29,1)</f>
        <v>1</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row>
    <row r="39" spans="1:35" s="12" customFormat="1" ht="12.75" hidden="1">
      <c r="A39" s="35"/>
      <c r="B39" s="83"/>
      <c r="C39" s="70"/>
      <c r="D39" s="111"/>
      <c r="F39" s="25"/>
      <c r="G39" s="43"/>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1:6" ht="12.75" hidden="1">
      <c r="A40" s="69"/>
      <c r="B40" s="76" t="s">
        <v>81</v>
      </c>
      <c r="C40" s="69"/>
      <c r="D40" s="2"/>
      <c r="E40" s="2"/>
      <c r="F40" s="28">
        <f>IF(F38&gt;C4/100,C4,F38*100)</f>
        <v>0</v>
      </c>
    </row>
    <row r="46" ht="12.75"/>
    <row r="47" ht="12.75"/>
    <row r="48" ht="12.75"/>
    <row r="49" ht="12.75"/>
  </sheetData>
  <sheetProtection/>
  <mergeCells count="1">
    <mergeCell ref="B12:C12"/>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Ark11"/>
  <dimension ref="A1:AO21"/>
  <sheetViews>
    <sheetView zoomScalePageLayoutView="0" workbookViewId="0" topLeftCell="A5">
      <selection activeCell="A5" sqref="A5"/>
    </sheetView>
  </sheetViews>
  <sheetFormatPr defaultColWidth="9.140625" defaultRowHeight="15"/>
  <cols>
    <col min="1" max="1" width="3.7109375" style="48" customWidth="1"/>
    <col min="2" max="2" width="85.140625" style="45" customWidth="1"/>
    <col min="3" max="3" width="18.7109375" style="47" customWidth="1"/>
    <col min="4" max="4" width="11.8515625" style="112" hidden="1" customWidth="1"/>
    <col min="5" max="5" width="8.7109375" style="1" hidden="1" customWidth="1"/>
    <col min="6" max="6" width="16.28125" style="3" hidden="1" customWidth="1"/>
    <col min="7" max="7" width="11.00390625" style="4" hidden="1" customWidth="1"/>
    <col min="8" max="41" width="9.140625" style="48" customWidth="1"/>
    <col min="42" max="16384" width="9.140625" style="1" customWidth="1"/>
  </cols>
  <sheetData>
    <row r="1" spans="2:7" s="69" customFormat="1" ht="12.75" hidden="1">
      <c r="B1" s="76"/>
      <c r="C1" s="71"/>
      <c r="D1" s="112"/>
      <c r="F1" s="77"/>
      <c r="G1" s="78"/>
    </row>
    <row r="2" spans="2:7" s="69" customFormat="1" ht="12.75" hidden="1">
      <c r="B2" s="76" t="s">
        <v>58</v>
      </c>
      <c r="C2" s="71"/>
      <c r="D2" s="112"/>
      <c r="F2" s="77"/>
      <c r="G2" s="78"/>
    </row>
    <row r="3" spans="2:7" s="69" customFormat="1" ht="25.5" hidden="1">
      <c r="B3" s="76" t="s">
        <v>43</v>
      </c>
      <c r="C3" s="71"/>
      <c r="D3" s="112"/>
      <c r="F3" s="77"/>
      <c r="G3" s="78"/>
    </row>
    <row r="4" spans="2:7" s="69" customFormat="1" ht="12.75" hidden="1">
      <c r="B4" s="76" t="s">
        <v>1</v>
      </c>
      <c r="C4" s="71">
        <f>+'IPM-point'!E19</f>
        <v>8</v>
      </c>
      <c r="D4" s="112"/>
      <c r="F4" s="77"/>
      <c r="G4" s="78"/>
    </row>
    <row r="5" ht="12.75"/>
    <row r="6" ht="12.75">
      <c r="B6" s="59"/>
    </row>
    <row r="7" ht="12.75">
      <c r="B7" s="59"/>
    </row>
    <row r="8" spans="2:3" ht="34.5" customHeight="1">
      <c r="B8" s="277" t="s">
        <v>184</v>
      </c>
      <c r="C8" s="48"/>
    </row>
    <row r="9" spans="2:3" ht="75.75" customHeight="1">
      <c r="B9" s="279" t="s">
        <v>379</v>
      </c>
      <c r="C9" s="48"/>
    </row>
    <row r="10" spans="1:41" s="12" customFormat="1" ht="25.5">
      <c r="A10" s="60"/>
      <c r="B10" s="278" t="s">
        <v>120</v>
      </c>
      <c r="C10" s="278"/>
      <c r="D10" s="117"/>
      <c r="E10" s="90" t="s">
        <v>25</v>
      </c>
      <c r="F10" s="14" t="s">
        <v>23</v>
      </c>
      <c r="G10" s="15" t="s">
        <v>21</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1" s="12" customFormat="1" ht="12.75">
      <c r="A11" s="60"/>
      <c r="B11" s="67"/>
      <c r="C11" s="63"/>
      <c r="D11" s="111"/>
      <c r="E11" s="21"/>
      <c r="F11" s="23"/>
      <c r="G11" s="17"/>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s="12" customFormat="1" ht="12.75">
      <c r="A12" s="60"/>
      <c r="B12" s="62"/>
      <c r="C12" s="63"/>
      <c r="D12" s="111"/>
      <c r="E12" s="21"/>
      <c r="F12" s="23"/>
      <c r="G12" s="17">
        <f>+G15</f>
        <v>10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row>
    <row r="13" spans="1:41" s="12" customFormat="1" ht="19.5" customHeight="1">
      <c r="A13" s="60"/>
      <c r="B13" s="64"/>
      <c r="C13" s="137"/>
      <c r="D13" s="111">
        <v>3</v>
      </c>
      <c r="E13" s="21">
        <f>IF(D13=1,G13,0)</f>
        <v>0</v>
      </c>
      <c r="F13" s="23">
        <f>+($C$4/100)*(E13/$G$19)</f>
        <v>0</v>
      </c>
      <c r="G13" s="34">
        <v>5</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row>
    <row r="14" spans="1:41" s="12" customFormat="1" ht="19.5" customHeight="1">
      <c r="A14" s="60"/>
      <c r="B14" s="64"/>
      <c r="C14" s="137"/>
      <c r="D14" s="111"/>
      <c r="E14" s="21">
        <f>IF(D13=2,G14,0)</f>
        <v>0</v>
      </c>
      <c r="F14" s="23">
        <f>+($C$4/100)*(E14/$G$19)</f>
        <v>0</v>
      </c>
      <c r="G14" s="34">
        <v>0</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row>
    <row r="15" spans="1:41" s="12" customFormat="1" ht="19.5" customHeight="1">
      <c r="A15" s="60"/>
      <c r="B15" s="64"/>
      <c r="C15" s="137"/>
      <c r="D15" s="111"/>
      <c r="E15" s="21">
        <f>IF(D13=3,G15,0)</f>
        <v>10</v>
      </c>
      <c r="F15" s="23">
        <f>+($C$4/100)*(E15/$G$19)</f>
        <v>0.08</v>
      </c>
      <c r="G15" s="34">
        <v>10</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row>
    <row r="16" spans="1:41" s="12" customFormat="1" ht="12.75">
      <c r="A16" s="60"/>
      <c r="B16" s="64"/>
      <c r="C16" s="63"/>
      <c r="D16" s="111"/>
      <c r="E16" s="21"/>
      <c r="F16" s="23">
        <f>SUM(F13:F15)</f>
        <v>0.08</v>
      </c>
      <c r="G16" s="34"/>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row r="17" spans="1:41" s="12" customFormat="1" ht="12.75">
      <c r="A17" s="60"/>
      <c r="B17" s="154" t="s">
        <v>345</v>
      </c>
      <c r="C17" s="63"/>
      <c r="D17" s="111"/>
      <c r="E17" s="21"/>
      <c r="F17" s="23"/>
      <c r="G17" s="36"/>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row>
    <row r="18" spans="1:41" s="12" customFormat="1" ht="12.75">
      <c r="A18" s="60"/>
      <c r="B18" s="64"/>
      <c r="C18" s="63"/>
      <c r="D18" s="111"/>
      <c r="E18" s="21"/>
      <c r="F18" s="23"/>
      <c r="G18" s="36"/>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19" spans="1:41" s="12" customFormat="1" ht="12.75" hidden="1">
      <c r="A19" s="35"/>
      <c r="B19" s="83" t="s">
        <v>50</v>
      </c>
      <c r="C19" s="70"/>
      <c r="D19" s="111"/>
      <c r="E19" s="21">
        <f>SUM(E11:E16)</f>
        <v>10</v>
      </c>
      <c r="F19" s="23">
        <f>IF(F16&gt;C4/100,C4/100,F16)</f>
        <v>0.08</v>
      </c>
      <c r="G19" s="17">
        <f>+G12</f>
        <v>10</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row>
    <row r="20" spans="1:41" s="12" customFormat="1" ht="12.75" hidden="1">
      <c r="A20" s="35"/>
      <c r="B20" s="83"/>
      <c r="C20" s="70"/>
      <c r="D20" s="111"/>
      <c r="F20" s="25"/>
      <c r="G20" s="26"/>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row>
    <row r="21" spans="1:6" ht="12.75" hidden="1">
      <c r="A21" s="69"/>
      <c r="B21" s="76" t="s">
        <v>81</v>
      </c>
      <c r="C21" s="69"/>
      <c r="D21" s="2"/>
      <c r="E21" s="2"/>
      <c r="F21" s="28">
        <f>+F19*100</f>
        <v>8</v>
      </c>
    </row>
  </sheetData>
  <sheetProtection/>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Ark12"/>
  <dimension ref="A1:AM40"/>
  <sheetViews>
    <sheetView zoomScalePageLayoutView="0" workbookViewId="0" topLeftCell="A5">
      <selection activeCell="A5" sqref="A5"/>
    </sheetView>
  </sheetViews>
  <sheetFormatPr defaultColWidth="9.140625" defaultRowHeight="15"/>
  <cols>
    <col min="1" max="1" width="3.7109375" style="48" customWidth="1"/>
    <col min="2" max="2" width="78.28125" style="45" customWidth="1"/>
    <col min="3" max="3" width="17.28125" style="47" customWidth="1"/>
    <col min="4" max="4" width="10.57421875" style="112" hidden="1" customWidth="1"/>
    <col min="5" max="5" width="8.7109375" style="1" hidden="1" customWidth="1"/>
    <col min="6" max="6" width="11.140625" style="3" hidden="1" customWidth="1"/>
    <col min="7" max="7" width="9.140625" style="4" hidden="1" customWidth="1"/>
    <col min="8" max="39" width="9.140625" style="48" customWidth="1"/>
    <col min="40" max="16384" width="9.140625" style="1" customWidth="1"/>
  </cols>
  <sheetData>
    <row r="1" spans="2:7" s="69" customFormat="1" ht="12.75" hidden="1">
      <c r="B1" s="76"/>
      <c r="C1" s="71"/>
      <c r="D1" s="112"/>
      <c r="F1" s="77"/>
      <c r="G1" s="78"/>
    </row>
    <row r="2" spans="2:7" s="69" customFormat="1" ht="12.75" hidden="1">
      <c r="B2" s="76" t="s">
        <v>58</v>
      </c>
      <c r="C2" s="71"/>
      <c r="D2" s="112"/>
      <c r="F2" s="77"/>
      <c r="G2" s="78"/>
    </row>
    <row r="3" spans="2:7" s="69" customFormat="1" ht="38.25" hidden="1">
      <c r="B3" s="76" t="s">
        <v>44</v>
      </c>
      <c r="C3" s="71"/>
      <c r="D3" s="112"/>
      <c r="F3" s="77"/>
      <c r="G3" s="78"/>
    </row>
    <row r="4" spans="2:7" s="69" customFormat="1" ht="12.75" hidden="1">
      <c r="B4" s="76" t="s">
        <v>1</v>
      </c>
      <c r="C4" s="71">
        <f>+'IPM-point'!E20</f>
        <v>10</v>
      </c>
      <c r="D4" s="112"/>
      <c r="F4" s="77"/>
      <c r="G4" s="78"/>
    </row>
    <row r="5" ht="31.5" customHeight="1"/>
    <row r="6" spans="2:3" ht="35.25" customHeight="1">
      <c r="B6" s="284" t="s">
        <v>185</v>
      </c>
      <c r="C6" s="284"/>
    </row>
    <row r="7" ht="12.75" customHeight="1">
      <c r="B7" s="110"/>
    </row>
    <row r="8" spans="2:4" ht="30" customHeight="1">
      <c r="B8" s="289" t="s">
        <v>119</v>
      </c>
      <c r="C8" s="289"/>
      <c r="D8" s="118"/>
    </row>
    <row r="9" ht="8.25" customHeight="1">
      <c r="B9" s="59"/>
    </row>
    <row r="10" spans="1:39" s="12" customFormat="1" ht="15" customHeight="1">
      <c r="A10" s="60"/>
      <c r="B10" s="66"/>
      <c r="C10" s="63"/>
      <c r="D10" s="111"/>
      <c r="E10" s="5" t="s">
        <v>25</v>
      </c>
      <c r="F10" s="14" t="s">
        <v>23</v>
      </c>
      <c r="G10" s="15" t="s">
        <v>21</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s="7" customFormat="1" ht="18.75" customHeight="1">
      <c r="A11" s="60"/>
      <c r="B11" s="65"/>
      <c r="C11" s="63"/>
      <c r="D11" s="111"/>
      <c r="E11" s="21"/>
      <c r="F11" s="23"/>
      <c r="G11" s="19">
        <f>+G13</f>
        <v>10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7" customFormat="1" ht="20.25" customHeight="1">
      <c r="A12" s="60"/>
      <c r="B12" s="64"/>
      <c r="C12" s="63"/>
      <c r="D12" s="111">
        <v>0</v>
      </c>
      <c r="E12" s="21">
        <f>IF(D12=1,G12,0)</f>
        <v>0</v>
      </c>
      <c r="F12" s="23">
        <f>+($C$4/100)*(E12/$G$37)</f>
        <v>0</v>
      </c>
      <c r="G12" s="20">
        <v>8</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s="7" customFormat="1" ht="20.25" customHeight="1">
      <c r="A13" s="60"/>
      <c r="B13" s="64"/>
      <c r="C13" s="63"/>
      <c r="D13" s="111"/>
      <c r="E13" s="21">
        <f>IF(D12=2,G13,0)</f>
        <v>0</v>
      </c>
      <c r="F13" s="23">
        <f>+($C$4/100)*(E13/$G$37)</f>
        <v>0</v>
      </c>
      <c r="G13" s="20">
        <v>10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s="7" customFormat="1" ht="20.25" customHeight="1">
      <c r="A14" s="60"/>
      <c r="B14" s="64"/>
      <c r="C14" s="63"/>
      <c r="D14" s="111"/>
      <c r="E14" s="21">
        <f>IF(D12=3,G14,0)</f>
        <v>0</v>
      </c>
      <c r="F14" s="23">
        <f>+($C$4/100)*(E14/$G$37)</f>
        <v>0</v>
      </c>
      <c r="G14" s="20">
        <v>5</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39" s="7" customFormat="1" ht="20.25" customHeight="1">
      <c r="A15" s="60"/>
      <c r="B15" s="64"/>
      <c r="C15" s="63"/>
      <c r="D15" s="111"/>
      <c r="E15" s="21">
        <f>IF(D12=4,G15,0)</f>
        <v>0</v>
      </c>
      <c r="F15" s="23">
        <f>+($C$4/100)*(E15/$G$37)</f>
        <v>0</v>
      </c>
      <c r="G15" s="20">
        <v>0</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39" s="7" customFormat="1" ht="20.25" customHeight="1">
      <c r="A16" s="60"/>
      <c r="B16" s="64"/>
      <c r="C16" s="63"/>
      <c r="D16" s="111"/>
      <c r="E16" s="21">
        <f>IF(D12=5,G16,0)</f>
        <v>0</v>
      </c>
      <c r="F16" s="23">
        <f>+($C$4/100)*(E16/$G$37)</f>
        <v>0</v>
      </c>
      <c r="G16" s="20">
        <v>8</v>
      </c>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row>
    <row r="17" spans="1:39" s="7" customFormat="1" ht="12.75">
      <c r="A17" s="60"/>
      <c r="B17" s="64"/>
      <c r="C17" s="63"/>
      <c r="D17" s="111"/>
      <c r="E17" s="21"/>
      <c r="F17" s="23">
        <f>SUM(F12:F16)</f>
        <v>0</v>
      </c>
      <c r="G17" s="19"/>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7" customFormat="1" ht="18.75" customHeight="1">
      <c r="A18" s="60"/>
      <c r="B18" s="65"/>
      <c r="C18" s="63"/>
      <c r="D18" s="111"/>
      <c r="E18" s="21"/>
      <c r="F18" s="23"/>
      <c r="G18" s="19">
        <f>+G20</f>
        <v>10</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s="7" customFormat="1" ht="20.25" customHeight="1">
      <c r="A19" s="60"/>
      <c r="B19" s="64"/>
      <c r="C19" s="63"/>
      <c r="D19" s="111">
        <v>0</v>
      </c>
      <c r="E19" s="21">
        <f>IF(D19=1,G19,0)</f>
        <v>0</v>
      </c>
      <c r="F19" s="23">
        <f>+($C$4/100)*(E19/$G$37)</f>
        <v>0</v>
      </c>
      <c r="G19" s="20">
        <v>10</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39" s="7" customFormat="1" ht="20.25" customHeight="1">
      <c r="A20" s="60"/>
      <c r="B20" s="64"/>
      <c r="C20" s="63"/>
      <c r="D20" s="111"/>
      <c r="E20" s="21">
        <f>IF(D19=2,G20,0)</f>
        <v>0</v>
      </c>
      <c r="F20" s="23">
        <f>+($C$4/100)*(E20/$G$37)</f>
        <v>0</v>
      </c>
      <c r="G20" s="20">
        <v>10</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row>
    <row r="21" spans="1:39" s="7" customFormat="1" ht="20.25" customHeight="1">
      <c r="A21" s="60"/>
      <c r="B21" s="64"/>
      <c r="C21" s="63"/>
      <c r="D21" s="111"/>
      <c r="E21" s="21">
        <f>IF(D19=3,G21,0)</f>
        <v>0</v>
      </c>
      <c r="F21" s="23">
        <f>+($C$4/100)*(E21/$G$37)</f>
        <v>0</v>
      </c>
      <c r="G21" s="20">
        <v>6</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row>
    <row r="22" spans="1:39" s="7" customFormat="1" ht="20.25" customHeight="1">
      <c r="A22" s="60"/>
      <c r="B22" s="64"/>
      <c r="C22" s="63"/>
      <c r="D22" s="111"/>
      <c r="E22" s="21">
        <f>IF(D19=4,G22,0)</f>
        <v>0</v>
      </c>
      <c r="F22" s="23">
        <f>+($C$4/100)*(E22/$G$37)</f>
        <v>0</v>
      </c>
      <c r="G22" s="20">
        <v>8</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spans="1:39" s="7" customFormat="1" ht="20.25" customHeight="1">
      <c r="A23" s="60"/>
      <c r="B23" s="64"/>
      <c r="C23" s="63"/>
      <c r="D23" s="111"/>
      <c r="E23" s="21">
        <f>IF(D19=5,G23,0)</f>
        <v>0</v>
      </c>
      <c r="F23" s="23">
        <f>+($C$4/100)*(E23/$G$37)</f>
        <v>0</v>
      </c>
      <c r="G23" s="20">
        <v>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39" s="7" customFormat="1" ht="12.75">
      <c r="A24" s="60"/>
      <c r="B24" s="64"/>
      <c r="C24" s="63"/>
      <c r="D24" s="111"/>
      <c r="E24" s="21"/>
      <c r="F24" s="23">
        <f>SUM(F19:F23)</f>
        <v>0</v>
      </c>
      <c r="G24" s="19"/>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row>
    <row r="25" spans="1:39" s="7" customFormat="1" ht="18" customHeight="1">
      <c r="A25" s="60"/>
      <c r="B25" s="65"/>
      <c r="C25" s="63"/>
      <c r="D25" s="111"/>
      <c r="E25" s="21"/>
      <c r="F25" s="23"/>
      <c r="G25" s="19">
        <f>+G26</f>
        <v>10</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row>
    <row r="26" spans="1:39" s="7" customFormat="1" ht="20.25" customHeight="1">
      <c r="A26" s="60"/>
      <c r="B26" s="64"/>
      <c r="C26" s="63"/>
      <c r="D26" s="111">
        <v>0</v>
      </c>
      <c r="E26" s="21">
        <f>IF(D26=1,G26,0)</f>
        <v>0</v>
      </c>
      <c r="F26" s="23">
        <f>+($C$4/100)*(E26/$G$37)</f>
        <v>0</v>
      </c>
      <c r="G26" s="20">
        <v>10</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row>
    <row r="27" spans="1:39" s="7" customFormat="1" ht="20.25" customHeight="1">
      <c r="A27" s="60"/>
      <c r="B27" s="64"/>
      <c r="C27" s="63"/>
      <c r="D27" s="111"/>
      <c r="E27" s="21">
        <f>IF(D26=2,G27,0)</f>
        <v>0</v>
      </c>
      <c r="F27" s="23">
        <f>+($C$4/100)*(E27/$G$37)</f>
        <v>0</v>
      </c>
      <c r="G27" s="20">
        <v>10</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39" s="7" customFormat="1" ht="20.25" customHeight="1">
      <c r="A28" s="60"/>
      <c r="B28" s="64"/>
      <c r="C28" s="63"/>
      <c r="D28" s="111"/>
      <c r="E28" s="21">
        <f>IF(D26=3,G28,0)</f>
        <v>0</v>
      </c>
      <c r="F28" s="23">
        <f>+($C$4/100)*(E28/$G$37)</f>
        <v>0</v>
      </c>
      <c r="G28" s="20">
        <v>8</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row>
    <row r="29" spans="1:39" s="7" customFormat="1" ht="20.25" customHeight="1">
      <c r="A29" s="60"/>
      <c r="B29" s="64"/>
      <c r="C29" s="63"/>
      <c r="D29" s="111"/>
      <c r="E29" s="21">
        <f>IF(D26=4,G29,0)</f>
        <v>0</v>
      </c>
      <c r="F29" s="23">
        <f>+($C$4/100)*(E29/$G$37)</f>
        <v>0</v>
      </c>
      <c r="G29" s="20">
        <v>5</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row>
    <row r="30" spans="1:39" s="7" customFormat="1" ht="20.25" customHeight="1">
      <c r="A30" s="60"/>
      <c r="B30" s="64"/>
      <c r="C30" s="63"/>
      <c r="D30" s="111"/>
      <c r="E30" s="21">
        <f>IF(D26=5,G30,0)</f>
        <v>0</v>
      </c>
      <c r="F30" s="23">
        <f>+($C$4/100)*(E30/$G$37)</f>
        <v>0</v>
      </c>
      <c r="G30" s="20">
        <v>2</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row>
    <row r="31" spans="1:39" s="7" customFormat="1" ht="12.75">
      <c r="A31" s="60"/>
      <c r="B31" s="64"/>
      <c r="C31" s="63"/>
      <c r="D31" s="111"/>
      <c r="E31" s="21"/>
      <c r="F31" s="23">
        <f>SUM(F26:F30)</f>
        <v>0</v>
      </c>
      <c r="G31" s="19"/>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row>
    <row r="32" spans="1:39" s="7" customFormat="1" ht="18" customHeight="1">
      <c r="A32" s="60"/>
      <c r="B32" s="65"/>
      <c r="C32" s="63"/>
      <c r="D32" s="111"/>
      <c r="E32" s="21"/>
      <c r="F32" s="23"/>
      <c r="G32" s="19">
        <f>+G33</f>
        <v>10</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row>
    <row r="33" spans="1:39" s="7" customFormat="1" ht="20.25" customHeight="1">
      <c r="A33" s="60"/>
      <c r="B33" s="64"/>
      <c r="C33" s="63"/>
      <c r="D33" s="111">
        <v>0</v>
      </c>
      <c r="E33" s="21">
        <f>IF(D33=1,G33,0)</f>
        <v>0</v>
      </c>
      <c r="F33" s="23">
        <f>+($C$4/100)*(E33/$G$37)</f>
        <v>0</v>
      </c>
      <c r="G33" s="20">
        <v>10</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row>
    <row r="34" spans="1:39" s="7" customFormat="1" ht="20.25" customHeight="1">
      <c r="A34" s="60"/>
      <c r="B34" s="64"/>
      <c r="C34" s="63"/>
      <c r="D34" s="111"/>
      <c r="E34" s="21">
        <f>IF(D33=2,G34,0)</f>
        <v>0</v>
      </c>
      <c r="F34" s="23">
        <f>+($C$4/100)*(E34/$G$37)</f>
        <v>0</v>
      </c>
      <c r="G34" s="20">
        <v>0</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row>
    <row r="35" spans="1:39" s="7" customFormat="1" ht="20.25" customHeight="1">
      <c r="A35" s="60"/>
      <c r="B35" s="64"/>
      <c r="C35" s="282"/>
      <c r="D35" s="111"/>
      <c r="E35" s="21">
        <f>IF(D33=3,G35,0)</f>
        <v>0</v>
      </c>
      <c r="F35" s="23">
        <f>+($C$4/100)*(E35/$G$37)</f>
        <v>0</v>
      </c>
      <c r="G35" s="20">
        <v>10</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row>
    <row r="36" spans="1:39" s="7" customFormat="1" ht="12.75">
      <c r="A36" s="60"/>
      <c r="B36" s="64"/>
      <c r="C36" s="63"/>
      <c r="D36" s="111"/>
      <c r="E36" s="21"/>
      <c r="F36" s="23">
        <f>SUM(F33:F35)</f>
        <v>0</v>
      </c>
      <c r="G36" s="19"/>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39" s="7" customFormat="1" ht="12.75" hidden="1">
      <c r="A37" s="35"/>
      <c r="B37" s="83" t="s">
        <v>50</v>
      </c>
      <c r="C37" s="70"/>
      <c r="D37" s="111"/>
      <c r="E37" s="21">
        <f>SUM(E12:E34)</f>
        <v>0</v>
      </c>
      <c r="F37" s="23">
        <f>+F17+F24+F31+F36</f>
        <v>0</v>
      </c>
      <c r="G37" s="17">
        <f>+G11+G18+G25+G32</f>
        <v>40</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39" s="12" customFormat="1" ht="12.75" hidden="1">
      <c r="A38" s="35"/>
      <c r="B38" s="83"/>
      <c r="C38" s="70"/>
      <c r="D38" s="111"/>
      <c r="F38" s="25"/>
      <c r="G38" s="26"/>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row r="39" spans="1:6" ht="12.75" hidden="1">
      <c r="A39" s="69"/>
      <c r="B39" s="76" t="s">
        <v>81</v>
      </c>
      <c r="C39" s="69"/>
      <c r="D39" s="2"/>
      <c r="E39" s="2"/>
      <c r="F39" s="28">
        <f>IF(F37&gt;C4/100,C4,F37*100)</f>
        <v>0</v>
      </c>
    </row>
    <row r="40" ht="12.75">
      <c r="B40" s="156" t="s">
        <v>346</v>
      </c>
    </row>
  </sheetData>
  <sheetProtection/>
  <mergeCells count="2">
    <mergeCell ref="B8:C8"/>
    <mergeCell ref="B6:C6"/>
  </mergeCells>
  <dataValidations count="1">
    <dataValidation type="whole" operator="equal" allowBlank="1" showInputMessage="1" showErrorMessage="1" promptTitle="Vælg kun et svar." error="Der kan kun tastes 1 (et)" sqref="C12:D16">
      <formula1>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scale="90" r:id="rId3"/>
  <legacyDrawing r:id="rId2"/>
</worksheet>
</file>

<file path=xl/worksheets/sheet13.xml><?xml version="1.0" encoding="utf-8"?>
<worksheet xmlns="http://schemas.openxmlformats.org/spreadsheetml/2006/main" xmlns:r="http://schemas.openxmlformats.org/officeDocument/2006/relationships">
  <sheetPr codeName="Ark13"/>
  <dimension ref="A1:AJ21"/>
  <sheetViews>
    <sheetView zoomScalePageLayoutView="0" workbookViewId="0" topLeftCell="A5">
      <selection activeCell="A5" sqref="A5"/>
    </sheetView>
  </sheetViews>
  <sheetFormatPr defaultColWidth="9.140625" defaultRowHeight="15"/>
  <cols>
    <col min="1" max="1" width="3.28125" style="48" customWidth="1"/>
    <col min="2" max="2" width="70.57421875" style="45" customWidth="1"/>
    <col min="3" max="3" width="15.8515625" style="47" customWidth="1"/>
    <col min="4" max="4" width="15.8515625" style="112" hidden="1" customWidth="1"/>
    <col min="5" max="5" width="8.7109375" style="1" hidden="1" customWidth="1"/>
    <col min="6" max="6" width="14.28125" style="3" hidden="1" customWidth="1"/>
    <col min="7" max="7" width="9.140625" style="4" hidden="1" customWidth="1"/>
    <col min="8" max="8" width="9.140625" style="69" hidden="1" customWidth="1"/>
    <col min="9" max="36" width="9.140625" style="48" customWidth="1"/>
    <col min="37" max="16384" width="9.140625" style="1" customWidth="1"/>
  </cols>
  <sheetData>
    <row r="1" spans="2:7" s="69" customFormat="1" ht="12.75" hidden="1">
      <c r="B1" s="76"/>
      <c r="C1" s="71"/>
      <c r="D1" s="112"/>
      <c r="F1" s="77"/>
      <c r="G1" s="78"/>
    </row>
    <row r="2" spans="2:7" s="69" customFormat="1" ht="12.75" hidden="1">
      <c r="B2" s="76" t="s">
        <v>58</v>
      </c>
      <c r="C2" s="71"/>
      <c r="D2" s="112"/>
      <c r="F2" s="77"/>
      <c r="G2" s="78"/>
    </row>
    <row r="3" spans="2:7" s="69" customFormat="1" ht="38.25" hidden="1">
      <c r="B3" s="76" t="s">
        <v>45</v>
      </c>
      <c r="C3" s="71"/>
      <c r="D3" s="112"/>
      <c r="F3" s="77"/>
      <c r="G3" s="78"/>
    </row>
    <row r="4" spans="2:7" s="69" customFormat="1" ht="12.75" hidden="1">
      <c r="B4" s="76" t="s">
        <v>1</v>
      </c>
      <c r="C4" s="71">
        <f>+'IPM-point'!E21</f>
        <v>5</v>
      </c>
      <c r="D4" s="112"/>
      <c r="F4" s="77"/>
      <c r="G4" s="78"/>
    </row>
    <row r="5" ht="12.75"/>
    <row r="6" ht="12.75"/>
    <row r="7" ht="12.75">
      <c r="B7" s="110"/>
    </row>
    <row r="8" spans="2:3" ht="20.25" customHeight="1">
      <c r="B8" s="284" t="s">
        <v>186</v>
      </c>
      <c r="C8" s="284"/>
    </row>
    <row r="9" spans="2:7" ht="14.25" customHeight="1">
      <c r="B9" s="59"/>
      <c r="E9" s="5" t="s">
        <v>25</v>
      </c>
      <c r="F9" s="14" t="s">
        <v>23</v>
      </c>
      <c r="G9" s="15" t="s">
        <v>21</v>
      </c>
    </row>
    <row r="10" spans="2:7" ht="38.25" customHeight="1">
      <c r="B10" s="289" t="s">
        <v>191</v>
      </c>
      <c r="C10" s="289"/>
      <c r="D10" s="117"/>
      <c r="E10" s="8"/>
      <c r="F10" s="8"/>
      <c r="G10" s="10">
        <f>+G12+H13+G15</f>
        <v>25</v>
      </c>
    </row>
    <row r="11" spans="2:7" s="48" customFormat="1" ht="3.75" customHeight="1">
      <c r="B11" s="147"/>
      <c r="C11" s="147"/>
      <c r="D11" s="147"/>
      <c r="G11" s="57"/>
    </row>
    <row r="12" spans="1:36" s="12" customFormat="1" ht="20.25" customHeight="1">
      <c r="A12" s="60"/>
      <c r="B12" s="64"/>
      <c r="C12" s="63"/>
      <c r="D12" s="111" t="b">
        <v>0</v>
      </c>
      <c r="E12" s="21">
        <f>IF(D12=TRUE,G12,0)</f>
        <v>0</v>
      </c>
      <c r="F12" s="23">
        <f>+($C$4/100)*(E12/$G$19)</f>
        <v>0</v>
      </c>
      <c r="G12" s="20">
        <v>10</v>
      </c>
      <c r="H12" s="35"/>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row>
    <row r="13" spans="1:36" s="12" customFormat="1" ht="20.25" customHeight="1">
      <c r="A13" s="60"/>
      <c r="B13" s="64"/>
      <c r="C13" s="63"/>
      <c r="D13" s="111" t="b">
        <v>0</v>
      </c>
      <c r="E13" s="21">
        <f>IF(D13=TRUE,G13,0)</f>
        <v>0</v>
      </c>
      <c r="F13" s="23">
        <f>+($C$4/100)*(E13/$G$19)</f>
        <v>0</v>
      </c>
      <c r="G13" s="20">
        <v>10</v>
      </c>
      <c r="H13" s="21">
        <f>IF(1a!E11+1a!E12+1a!E13+1a!E14&gt;0,G13,0)</f>
        <v>10</v>
      </c>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spans="1:36" s="12" customFormat="1" ht="20.25" customHeight="1">
      <c r="A14" s="60"/>
      <c r="B14" s="64"/>
      <c r="C14" s="63"/>
      <c r="D14" s="111" t="b">
        <v>0</v>
      </c>
      <c r="E14" s="21">
        <f>IF(D14=TRUE,G14,0)</f>
        <v>0</v>
      </c>
      <c r="F14" s="23">
        <f>+($C$4/100)*(E14/$G$19)</f>
        <v>0</v>
      </c>
      <c r="G14" s="20">
        <v>0</v>
      </c>
      <c r="H14" s="35"/>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spans="1:36" s="12" customFormat="1" ht="20.25" customHeight="1">
      <c r="A15" s="60"/>
      <c r="B15" s="64"/>
      <c r="C15" s="63"/>
      <c r="D15" s="111" t="b">
        <v>0</v>
      </c>
      <c r="E15" s="21">
        <f>IF(D15=TRUE,G15,0)</f>
        <v>0</v>
      </c>
      <c r="F15" s="23">
        <f>+($C$4/100)*(E15/$G$19)</f>
        <v>0</v>
      </c>
      <c r="G15" s="20">
        <v>5</v>
      </c>
      <c r="H15" s="35"/>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row>
    <row r="16" spans="1:36" s="12" customFormat="1" ht="12.75">
      <c r="A16" s="60"/>
      <c r="B16" s="64"/>
      <c r="C16" s="63"/>
      <c r="D16" s="111"/>
      <c r="E16" s="21"/>
      <c r="F16" s="23"/>
      <c r="G16" s="19"/>
      <c r="H16" s="35"/>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36" s="12" customFormat="1" ht="12.75">
      <c r="A17" s="60"/>
      <c r="B17" s="155" t="s">
        <v>347</v>
      </c>
      <c r="C17" s="60"/>
      <c r="D17" s="7"/>
      <c r="H17" s="35"/>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row>
    <row r="18" spans="1:36" s="12" customFormat="1" ht="12.75">
      <c r="A18" s="60"/>
      <c r="B18" s="64"/>
      <c r="C18" s="63"/>
      <c r="D18" s="111"/>
      <c r="F18" s="25"/>
      <c r="G18" s="26"/>
      <c r="H18" s="35"/>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row>
    <row r="19" spans="1:7" ht="12.75" hidden="1">
      <c r="A19" s="69"/>
      <c r="B19" s="83" t="s">
        <v>50</v>
      </c>
      <c r="C19" s="70"/>
      <c r="D19" s="111"/>
      <c r="E19" s="21">
        <f>SUM(E12:E15)</f>
        <v>0</v>
      </c>
      <c r="F19" s="21">
        <f>SUM(F12:F15)</f>
        <v>0</v>
      </c>
      <c r="G19" s="17">
        <f>+G10</f>
        <v>25</v>
      </c>
    </row>
    <row r="20" spans="1:3" ht="12.75" hidden="1">
      <c r="A20" s="69"/>
      <c r="B20" s="76"/>
      <c r="C20" s="71"/>
    </row>
    <row r="21" spans="1:6" ht="12.75" hidden="1">
      <c r="A21" s="69"/>
      <c r="B21" s="76" t="s">
        <v>81</v>
      </c>
      <c r="C21" s="69"/>
      <c r="D21" s="2"/>
      <c r="E21" s="2"/>
      <c r="F21" s="28">
        <f>+F19*100</f>
        <v>0</v>
      </c>
    </row>
  </sheetData>
  <sheetProtection/>
  <mergeCells count="2">
    <mergeCell ref="B10:C10"/>
    <mergeCell ref="B8:C8"/>
  </mergeCells>
  <printOptions/>
  <pageMargins left="0.7" right="0.7" top="0.75" bottom="0.75" header="0.3" footer="0.3"/>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Ark14"/>
  <dimension ref="A1:AO32"/>
  <sheetViews>
    <sheetView zoomScalePageLayoutView="0" workbookViewId="0" topLeftCell="A4">
      <selection activeCell="A4" sqref="A4"/>
    </sheetView>
  </sheetViews>
  <sheetFormatPr defaultColWidth="9.140625" defaultRowHeight="15"/>
  <cols>
    <col min="1" max="1" width="3.28125" style="48" customWidth="1"/>
    <col min="2" max="2" width="71.57421875" style="45" customWidth="1"/>
    <col min="3" max="3" width="11.57421875" style="47" customWidth="1"/>
    <col min="4" max="4" width="11.57421875" style="112" hidden="1" customWidth="1"/>
    <col min="5" max="5" width="8.7109375" style="1" hidden="1" customWidth="1"/>
    <col min="6" max="6" width="14.28125" style="3" hidden="1" customWidth="1"/>
    <col min="7" max="7" width="11.00390625" style="4" hidden="1" customWidth="1"/>
    <col min="8" max="8" width="9.140625" style="69" hidden="1" customWidth="1"/>
    <col min="9" max="41" width="9.140625" style="48" customWidth="1"/>
    <col min="42" max="16384" width="9.140625" style="1" customWidth="1"/>
  </cols>
  <sheetData>
    <row r="1" spans="2:7" s="69" customFormat="1" ht="12.75" customHeight="1" hidden="1">
      <c r="B1" s="76" t="s">
        <v>58</v>
      </c>
      <c r="C1" s="71"/>
      <c r="D1" s="112"/>
      <c r="F1" s="77"/>
      <c r="G1" s="78"/>
    </row>
    <row r="2" spans="2:7" s="69" customFormat="1" ht="25.5" customHeight="1" hidden="1">
      <c r="B2" s="76" t="s">
        <v>46</v>
      </c>
      <c r="C2" s="71"/>
      <c r="D2" s="112"/>
      <c r="F2" s="77"/>
      <c r="G2" s="78"/>
    </row>
    <row r="3" spans="2:7" s="69" customFormat="1" ht="12.75" customHeight="1" hidden="1">
      <c r="B3" s="76" t="s">
        <v>1</v>
      </c>
      <c r="C3" s="71">
        <f>+'IPM-point'!E22</f>
        <v>5</v>
      </c>
      <c r="D3" s="112"/>
      <c r="F3" s="77"/>
      <c r="G3" s="78"/>
    </row>
    <row r="4" ht="12.75"/>
    <row r="5" ht="12.75"/>
    <row r="6" ht="12.75">
      <c r="B6" s="110"/>
    </row>
    <row r="7" spans="2:3" ht="22.5" customHeight="1">
      <c r="B7" s="140" t="s">
        <v>187</v>
      </c>
      <c r="C7" s="116"/>
    </row>
    <row r="8" ht="12.75"/>
    <row r="9" spans="2:7" ht="25.5">
      <c r="B9" s="65"/>
      <c r="C9" s="63"/>
      <c r="D9" s="111"/>
      <c r="E9" s="90" t="s">
        <v>25</v>
      </c>
      <c r="F9" s="14" t="s">
        <v>23</v>
      </c>
      <c r="G9" s="15" t="s">
        <v>21</v>
      </c>
    </row>
    <row r="10" spans="1:41" s="7" customFormat="1" ht="20.25" customHeight="1">
      <c r="A10" s="60"/>
      <c r="B10" s="64"/>
      <c r="C10" s="63"/>
      <c r="D10" s="111" t="b">
        <v>0</v>
      </c>
      <c r="E10" s="21">
        <f>IF(D10=TRUE,G10,0)</f>
        <v>0</v>
      </c>
      <c r="F10" s="23">
        <f>+($C$3/100)*(E10/$G$26)</f>
        <v>0</v>
      </c>
      <c r="G10" s="20">
        <v>10</v>
      </c>
      <c r="H10" s="35"/>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1" s="7" customFormat="1" ht="20.25" customHeight="1">
      <c r="A11" s="60"/>
      <c r="B11" s="64"/>
      <c r="C11" s="63"/>
      <c r="D11" s="111" t="b">
        <v>0</v>
      </c>
      <c r="E11" s="21">
        <f>IF(D11=TRUE,G11,0)</f>
        <v>0</v>
      </c>
      <c r="F11" s="23">
        <f>+($C$3/100)*(E11/$G$26)</f>
        <v>0</v>
      </c>
      <c r="G11" s="20">
        <v>10</v>
      </c>
      <c r="H11" s="35"/>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s="7" customFormat="1" ht="20.25" customHeight="1">
      <c r="A12" s="60"/>
      <c r="B12" s="64"/>
      <c r="C12" s="63"/>
      <c r="D12" s="111" t="b">
        <v>0</v>
      </c>
      <c r="E12" s="21">
        <f>IF(D12=TRUE,G12,0)</f>
        <v>0</v>
      </c>
      <c r="F12" s="23">
        <f>+($C$3/100)*(E12/$G$26)</f>
        <v>0</v>
      </c>
      <c r="G12" s="20">
        <v>4</v>
      </c>
      <c r="H12" s="35"/>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row>
    <row r="13" spans="1:41" s="7" customFormat="1" ht="30" customHeight="1">
      <c r="A13" s="60"/>
      <c r="B13" s="64"/>
      <c r="C13" s="63"/>
      <c r="D13" s="111" t="b">
        <v>0</v>
      </c>
      <c r="E13" s="21">
        <f>IF(D13=TRUE,G13,0)</f>
        <v>0</v>
      </c>
      <c r="F13" s="23">
        <f>+($C$3/100)*(E13/$G$26)</f>
        <v>0</v>
      </c>
      <c r="G13" s="20">
        <v>5</v>
      </c>
      <c r="H13" s="35"/>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row>
    <row r="14" spans="2:8" ht="12.75">
      <c r="B14" s="66"/>
      <c r="C14" s="63"/>
      <c r="D14" s="111"/>
      <c r="E14" s="44"/>
      <c r="F14" s="18">
        <f>SUM(F10:F13)</f>
        <v>0</v>
      </c>
      <c r="G14" s="17">
        <f>+G10+G11+G13</f>
        <v>25</v>
      </c>
      <c r="H14" s="23">
        <f>+($C$3/100)*(G14/$G$26)</f>
        <v>0.03571428571428572</v>
      </c>
    </row>
    <row r="15" spans="2:8" ht="12.75">
      <c r="B15" s="66"/>
      <c r="C15" s="63"/>
      <c r="D15" s="111"/>
      <c r="E15" s="44"/>
      <c r="F15" s="18">
        <f>IF(F14&gt;H14,H14,F14)</f>
        <v>0</v>
      </c>
      <c r="G15" s="17"/>
      <c r="H15" s="23"/>
    </row>
    <row r="16" spans="1:41" s="12" customFormat="1" ht="12.75">
      <c r="A16" s="60"/>
      <c r="B16" s="65"/>
      <c r="C16" s="60"/>
      <c r="D16" s="7"/>
      <c r="E16" s="21"/>
      <c r="F16" s="23"/>
      <c r="G16" s="17">
        <f>+G17</f>
        <v>10</v>
      </c>
      <c r="H16" s="23">
        <f>+($C$3/100)*(G16/$G$26)</f>
        <v>0.014285714285714285</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row r="17" spans="1:41" s="7" customFormat="1" ht="15" customHeight="1">
      <c r="A17" s="60"/>
      <c r="B17" s="64"/>
      <c r="C17" s="63"/>
      <c r="D17" s="111">
        <v>0</v>
      </c>
      <c r="E17" s="21">
        <f>IF(D17=1,G17,0)</f>
        <v>0</v>
      </c>
      <c r="F17" s="23">
        <f>+($C$3/100)*(E17/$G$26)</f>
        <v>0</v>
      </c>
      <c r="G17" s="20">
        <v>10</v>
      </c>
      <c r="H17" s="35"/>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row>
    <row r="18" spans="1:41" s="7" customFormat="1" ht="15" customHeight="1">
      <c r="A18" s="60"/>
      <c r="B18" s="64"/>
      <c r="C18" s="63"/>
      <c r="D18" s="111"/>
      <c r="E18" s="21">
        <f>IF(D17=2,G18,0)</f>
        <v>0</v>
      </c>
      <c r="F18" s="23">
        <f>+($C$3/100)*(E18/$G$26)</f>
        <v>0</v>
      </c>
      <c r="G18" s="20">
        <v>8</v>
      </c>
      <c r="H18" s="35"/>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19" spans="1:41" s="7" customFormat="1" ht="15" customHeight="1">
      <c r="A19" s="60"/>
      <c r="B19" s="64"/>
      <c r="C19" s="63"/>
      <c r="D19" s="111"/>
      <c r="E19" s="21">
        <f>IF(D17=3,G19,0)</f>
        <v>0</v>
      </c>
      <c r="F19" s="23">
        <f>+($C$3/100)*(E19/$G$26)</f>
        <v>0</v>
      </c>
      <c r="G19" s="20">
        <v>2</v>
      </c>
      <c r="H19" s="35"/>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row>
    <row r="20" spans="1:41" s="7" customFormat="1" ht="15" customHeight="1">
      <c r="A20" s="60"/>
      <c r="B20" s="64"/>
      <c r="C20" s="63"/>
      <c r="D20" s="111"/>
      <c r="E20" s="21">
        <f>IF(D17=4,G20,0)</f>
        <v>0</v>
      </c>
      <c r="F20" s="23">
        <f>+($C$3/100)*(E20/$G$26)</f>
        <v>0</v>
      </c>
      <c r="G20" s="20">
        <v>0</v>
      </c>
      <c r="H20" s="35"/>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row>
    <row r="21" spans="1:41" s="7" customFormat="1" ht="12.75">
      <c r="A21" s="60"/>
      <c r="B21" s="64"/>
      <c r="C21" s="63"/>
      <c r="D21" s="111"/>
      <c r="E21" s="21"/>
      <c r="F21" s="23">
        <f>SUM(F17:F20)</f>
        <v>0</v>
      </c>
      <c r="G21" s="20"/>
      <c r="H21" s="35"/>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row>
    <row r="22" spans="1:41" s="7" customFormat="1" ht="12.75">
      <c r="A22" s="60"/>
      <c r="B22" s="155" t="s">
        <v>348</v>
      </c>
      <c r="C22" s="60"/>
      <c r="E22" s="21"/>
      <c r="F22" s="23">
        <f>IF(F21&gt;H16,H16,F21)</f>
        <v>0</v>
      </c>
      <c r="G22" s="19"/>
      <c r="H22" s="35"/>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row>
    <row r="23" spans="1:41" s="7" customFormat="1" ht="12.75">
      <c r="A23" s="60"/>
      <c r="B23" s="60"/>
      <c r="C23" s="60"/>
      <c r="E23" s="21"/>
      <c r="F23" s="23"/>
      <c r="G23" s="19"/>
      <c r="H23" s="35"/>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row>
    <row r="24" spans="1:41" s="7" customFormat="1" ht="12.75">
      <c r="A24" s="60"/>
      <c r="B24" s="60"/>
      <c r="C24" s="60"/>
      <c r="E24" s="21"/>
      <c r="F24" s="23"/>
      <c r="G24" s="19"/>
      <c r="H24" s="35"/>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row>
    <row r="25" spans="1:41" s="7" customFormat="1" ht="12.75">
      <c r="A25" s="60"/>
      <c r="B25" s="64"/>
      <c r="C25" s="63"/>
      <c r="D25" s="111"/>
      <c r="E25" s="21"/>
      <c r="F25" s="23"/>
      <c r="G25" s="19"/>
      <c r="H25" s="35"/>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row>
    <row r="26" spans="1:41" s="7" customFormat="1" ht="12.75" customHeight="1" hidden="1">
      <c r="A26" s="35"/>
      <c r="B26" s="83" t="s">
        <v>50</v>
      </c>
      <c r="C26" s="70"/>
      <c r="D26" s="111"/>
      <c r="E26" s="21">
        <f>SUM(E17:E25)</f>
        <v>0</v>
      </c>
      <c r="F26" s="23">
        <f>+F15+F22</f>
        <v>0</v>
      </c>
      <c r="G26" s="17">
        <f>+G14+G16</f>
        <v>35</v>
      </c>
      <c r="H26" s="35"/>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row>
    <row r="27" spans="1:41" s="7" customFormat="1" ht="12.75" customHeight="1" hidden="1">
      <c r="A27" s="35"/>
      <c r="B27" s="83"/>
      <c r="C27" s="70"/>
      <c r="D27" s="111"/>
      <c r="F27" s="24"/>
      <c r="G27" s="16"/>
      <c r="H27" s="35"/>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row>
    <row r="28" spans="1:41" s="12" customFormat="1" ht="12.75" customHeight="1" hidden="1">
      <c r="A28" s="35"/>
      <c r="B28" s="76" t="s">
        <v>81</v>
      </c>
      <c r="C28" s="69"/>
      <c r="D28" s="2"/>
      <c r="E28" s="2"/>
      <c r="F28" s="28">
        <f>+F26*100</f>
        <v>0</v>
      </c>
      <c r="G28" s="26"/>
      <c r="H28" s="35"/>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row>
    <row r="29" spans="1:41" s="12" customFormat="1" ht="12.75">
      <c r="A29" s="60"/>
      <c r="B29" s="64"/>
      <c r="C29" s="63"/>
      <c r="D29" s="111"/>
      <c r="F29" s="25"/>
      <c r="G29" s="26"/>
      <c r="H29" s="35"/>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1" s="12" customFormat="1" ht="12.75">
      <c r="A30" s="60"/>
      <c r="B30" s="60"/>
      <c r="C30" s="63"/>
      <c r="D30" s="111"/>
      <c r="F30" s="25"/>
      <c r="G30" s="26"/>
      <c r="H30" s="35"/>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row>
    <row r="32" ht="12.75">
      <c r="B32" s="48"/>
    </row>
  </sheetData>
  <sheetProtection/>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Ark15"/>
  <dimension ref="A1:AQ85"/>
  <sheetViews>
    <sheetView zoomScalePageLayoutView="0" workbookViewId="0" topLeftCell="A5">
      <selection activeCell="H53" sqref="H1:K16384"/>
    </sheetView>
  </sheetViews>
  <sheetFormatPr defaultColWidth="9.140625" defaultRowHeight="15"/>
  <cols>
    <col min="1" max="1" width="4.00390625" style="48" customWidth="1"/>
    <col min="2" max="2" width="74.00390625" style="45" customWidth="1"/>
    <col min="3" max="6" width="6.57421875" style="48" customWidth="1"/>
    <col min="7" max="7" width="6.57421875" style="57" customWidth="1"/>
    <col min="8" max="8" width="13.00390625" style="11" hidden="1" customWidth="1"/>
    <col min="9" max="9" width="15.7109375" style="4" hidden="1" customWidth="1"/>
    <col min="10" max="10" width="13.57421875" style="4" hidden="1" customWidth="1"/>
    <col min="11" max="11" width="13.57421875" style="1" hidden="1" customWidth="1"/>
    <col min="12" max="12" width="4.421875" style="48" customWidth="1"/>
    <col min="13" max="43" width="9.140625" style="48" customWidth="1"/>
    <col min="44" max="16384" width="9.140625" style="1" customWidth="1"/>
  </cols>
  <sheetData>
    <row r="1" spans="2:10" s="69" customFormat="1" ht="12.75" hidden="1">
      <c r="B1" s="76"/>
      <c r="G1" s="78"/>
      <c r="H1" s="11"/>
      <c r="I1" s="78"/>
      <c r="J1" s="78"/>
    </row>
    <row r="2" spans="2:10" s="69" customFormat="1" ht="12.75" hidden="1">
      <c r="B2" s="79" t="s">
        <v>84</v>
      </c>
      <c r="C2" s="78"/>
      <c r="D2" s="78"/>
      <c r="E2" s="78"/>
      <c r="F2" s="78"/>
      <c r="G2" s="78"/>
      <c r="H2" s="11"/>
      <c r="I2" s="78"/>
      <c r="J2" s="78"/>
    </row>
    <row r="3" spans="2:10" s="69" customFormat="1" ht="25.5" hidden="1">
      <c r="B3" s="79" t="s">
        <v>85</v>
      </c>
      <c r="C3" s="78"/>
      <c r="D3" s="78"/>
      <c r="E3" s="78"/>
      <c r="F3" s="78"/>
      <c r="G3" s="78"/>
      <c r="H3" s="11"/>
      <c r="I3" s="78"/>
      <c r="J3" s="78"/>
    </row>
    <row r="4" spans="2:10" s="69" customFormat="1" ht="12.75" hidden="1">
      <c r="B4" s="79" t="s">
        <v>1</v>
      </c>
      <c r="C4" s="78">
        <v>100</v>
      </c>
      <c r="D4" s="78"/>
      <c r="E4" s="78"/>
      <c r="F4" s="78"/>
      <c r="G4" s="78"/>
      <c r="H4" s="11"/>
      <c r="I4" s="78"/>
      <c r="J4" s="78"/>
    </row>
    <row r="5" ht="12.75"/>
    <row r="6" ht="12.75">
      <c r="B6" s="59"/>
    </row>
    <row r="7" ht="12.75">
      <c r="B7" s="59"/>
    </row>
    <row r="8" spans="1:43" s="132" customFormat="1" ht="22.5" customHeight="1">
      <c r="A8" s="103"/>
      <c r="B8" s="284" t="s">
        <v>175</v>
      </c>
      <c r="C8" s="284"/>
      <c r="D8" s="284"/>
      <c r="E8" s="284"/>
      <c r="F8" s="284"/>
      <c r="G8" s="284"/>
      <c r="H8" s="134"/>
      <c r="I8" s="131"/>
      <c r="J8" s="131"/>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row>
    <row r="9" ht="12.75">
      <c r="B9" s="59"/>
    </row>
    <row r="10" spans="2:7" ht="12.75">
      <c r="B10" s="64"/>
      <c r="C10" s="60"/>
      <c r="D10" s="60"/>
      <c r="E10" s="60"/>
      <c r="F10" s="60"/>
      <c r="G10" s="136"/>
    </row>
    <row r="11" spans="2:7" ht="25.5">
      <c r="B11" s="65" t="s">
        <v>161</v>
      </c>
      <c r="C11" s="60"/>
      <c r="D11" s="60"/>
      <c r="E11" s="60"/>
      <c r="F11" s="60"/>
      <c r="G11" s="136"/>
    </row>
    <row r="12" spans="2:7" ht="12.75">
      <c r="B12" s="64"/>
      <c r="C12" s="60"/>
      <c r="D12" s="60"/>
      <c r="E12" s="60"/>
      <c r="F12" s="60"/>
      <c r="G12" s="136"/>
    </row>
    <row r="13" spans="2:11" ht="25.5">
      <c r="B13" s="267" t="s">
        <v>168</v>
      </c>
      <c r="C13" s="152" t="s">
        <v>163</v>
      </c>
      <c r="D13" s="138" t="s">
        <v>164</v>
      </c>
      <c r="E13" s="138" t="s">
        <v>165</v>
      </c>
      <c r="F13" s="138" t="s">
        <v>166</v>
      </c>
      <c r="G13" s="139" t="s">
        <v>167</v>
      </c>
      <c r="I13" s="5" t="s">
        <v>25</v>
      </c>
      <c r="J13" s="14" t="s">
        <v>23</v>
      </c>
      <c r="K13" s="15" t="s">
        <v>21</v>
      </c>
    </row>
    <row r="14" spans="2:11" ht="30.75" customHeight="1">
      <c r="B14" s="64" t="s">
        <v>162</v>
      </c>
      <c r="C14" s="63"/>
      <c r="D14" s="63"/>
      <c r="E14" s="63"/>
      <c r="F14" s="63"/>
      <c r="G14" s="136"/>
      <c r="H14" s="2">
        <v>0</v>
      </c>
      <c r="I14" s="21">
        <f aca="true" t="shared" si="0" ref="I14:I19">IF(H14=1,K14,IF(H14=2,K14*0.8,IF(H14=3,K14*0.6,IF(H14=4,K14*0.4,IF(H14=5,K14*0,0)))))</f>
        <v>0</v>
      </c>
      <c r="J14" s="23">
        <f aca="true" t="shared" si="1" ref="J14:J19">+($C$4/100)*(I14/$K$80)</f>
        <v>0</v>
      </c>
      <c r="K14" s="20">
        <v>10</v>
      </c>
    </row>
    <row r="15" spans="2:11" ht="27" customHeight="1">
      <c r="B15" s="64" t="s">
        <v>199</v>
      </c>
      <c r="C15" s="63"/>
      <c r="D15" s="63"/>
      <c r="E15" s="63"/>
      <c r="F15" s="63"/>
      <c r="G15" s="136"/>
      <c r="H15" s="11">
        <v>0</v>
      </c>
      <c r="I15" s="21">
        <f t="shared" si="0"/>
        <v>0</v>
      </c>
      <c r="J15" s="23">
        <f t="shared" si="1"/>
        <v>0</v>
      </c>
      <c r="K15" s="20">
        <v>10</v>
      </c>
    </row>
    <row r="16" spans="2:11" ht="20.25" customHeight="1">
      <c r="B16" s="64" t="s">
        <v>359</v>
      </c>
      <c r="C16" s="63"/>
      <c r="D16" s="63"/>
      <c r="E16" s="63"/>
      <c r="F16" s="63"/>
      <c r="G16" s="136"/>
      <c r="H16" s="11">
        <v>0</v>
      </c>
      <c r="I16" s="21">
        <f t="shared" si="0"/>
        <v>0</v>
      </c>
      <c r="J16" s="23">
        <f t="shared" si="1"/>
        <v>0</v>
      </c>
      <c r="K16" s="20">
        <v>10</v>
      </c>
    </row>
    <row r="17" spans="2:11" ht="20.25" customHeight="1">
      <c r="B17" s="64" t="s">
        <v>173</v>
      </c>
      <c r="C17" s="63"/>
      <c r="D17" s="63"/>
      <c r="E17" s="63"/>
      <c r="F17" s="63"/>
      <c r="G17" s="136"/>
      <c r="H17" s="11">
        <v>0</v>
      </c>
      <c r="I17" s="21">
        <f t="shared" si="0"/>
        <v>0</v>
      </c>
      <c r="J17" s="23">
        <f t="shared" si="1"/>
        <v>0</v>
      </c>
      <c r="K17" s="20">
        <v>10</v>
      </c>
    </row>
    <row r="18" spans="2:11" ht="20.25" customHeight="1">
      <c r="B18" s="64" t="s">
        <v>105</v>
      </c>
      <c r="C18" s="63"/>
      <c r="D18" s="63"/>
      <c r="E18" s="63"/>
      <c r="F18" s="63"/>
      <c r="G18" s="136"/>
      <c r="H18" s="11">
        <v>0</v>
      </c>
      <c r="I18" s="21">
        <f t="shared" si="0"/>
        <v>0</v>
      </c>
      <c r="J18" s="23">
        <f t="shared" si="1"/>
        <v>0</v>
      </c>
      <c r="K18" s="30">
        <v>10</v>
      </c>
    </row>
    <row r="19" spans="2:11" ht="20.25" customHeight="1">
      <c r="B19" s="64" t="s">
        <v>172</v>
      </c>
      <c r="C19" s="63"/>
      <c r="D19" s="63"/>
      <c r="E19" s="63"/>
      <c r="F19" s="63"/>
      <c r="G19" s="136"/>
      <c r="H19" s="11">
        <v>0</v>
      </c>
      <c r="I19" s="21">
        <f t="shared" si="0"/>
        <v>0</v>
      </c>
      <c r="J19" s="23">
        <f t="shared" si="1"/>
        <v>0</v>
      </c>
      <c r="K19" s="30">
        <v>10</v>
      </c>
    </row>
    <row r="20" spans="2:11" ht="12.75">
      <c r="B20" s="64"/>
      <c r="C20" s="60"/>
      <c r="D20" s="60"/>
      <c r="E20" s="60"/>
      <c r="F20" s="60"/>
      <c r="G20" s="136"/>
      <c r="I20" s="21"/>
      <c r="J20" s="23"/>
      <c r="K20" s="19">
        <f>SUM(K14:K19)</f>
        <v>60</v>
      </c>
    </row>
    <row r="21" spans="2:11" ht="25.5">
      <c r="B21" s="267" t="s">
        <v>171</v>
      </c>
      <c r="C21" s="152" t="s">
        <v>169</v>
      </c>
      <c r="D21" s="138" t="s">
        <v>170</v>
      </c>
      <c r="E21" s="138" t="s">
        <v>165</v>
      </c>
      <c r="F21" s="138" t="s">
        <v>166</v>
      </c>
      <c r="G21" s="139" t="s">
        <v>167</v>
      </c>
      <c r="I21" s="21"/>
      <c r="J21" s="23"/>
      <c r="K21" s="19"/>
    </row>
    <row r="22" spans="2:11" ht="20.25" customHeight="1">
      <c r="B22" s="64" t="s">
        <v>94</v>
      </c>
      <c r="C22" s="63"/>
      <c r="D22" s="63"/>
      <c r="E22" s="63"/>
      <c r="F22" s="63"/>
      <c r="G22" s="136"/>
      <c r="H22" s="11">
        <v>0</v>
      </c>
      <c r="I22" s="21">
        <f aca="true" t="shared" si="2" ref="I22:I27">IF(H22=1,K22,IF(H22=2,K22*0.8,IF(H22=3,K22*0.6,IF(H22=4,K22*0.4,IF(H22=5,K22*0,0)))))</f>
        <v>0</v>
      </c>
      <c r="J22" s="23">
        <f aca="true" t="shared" si="3" ref="J22:J27">+($C$4/100)*(I22/$K$80)</f>
        <v>0</v>
      </c>
      <c r="K22" s="20">
        <v>10</v>
      </c>
    </row>
    <row r="23" spans="2:11" ht="20.25" customHeight="1">
      <c r="B23" s="64" t="s">
        <v>93</v>
      </c>
      <c r="C23" s="63"/>
      <c r="D23" s="63"/>
      <c r="E23" s="63"/>
      <c r="F23" s="63"/>
      <c r="G23" s="136"/>
      <c r="H23" s="11">
        <v>0</v>
      </c>
      <c r="I23" s="21">
        <f t="shared" si="2"/>
        <v>0</v>
      </c>
      <c r="J23" s="23">
        <f t="shared" si="3"/>
        <v>0</v>
      </c>
      <c r="K23" s="20">
        <v>10</v>
      </c>
    </row>
    <row r="24" spans="2:11" ht="20.25" customHeight="1">
      <c r="B24" s="64" t="s">
        <v>95</v>
      </c>
      <c r="C24" s="63"/>
      <c r="D24" s="63"/>
      <c r="E24" s="63"/>
      <c r="F24" s="63"/>
      <c r="G24" s="136"/>
      <c r="H24" s="11">
        <v>0</v>
      </c>
      <c r="I24" s="21">
        <f t="shared" si="2"/>
        <v>0</v>
      </c>
      <c r="J24" s="23">
        <f t="shared" si="3"/>
        <v>0</v>
      </c>
      <c r="K24" s="20">
        <v>10</v>
      </c>
    </row>
    <row r="25" spans="2:11" ht="20.25" customHeight="1">
      <c r="B25" s="64" t="s">
        <v>371</v>
      </c>
      <c r="C25" s="63"/>
      <c r="D25" s="63"/>
      <c r="E25" s="63"/>
      <c r="F25" s="63"/>
      <c r="G25" s="136"/>
      <c r="H25" s="11">
        <v>0</v>
      </c>
      <c r="I25" s="21">
        <f t="shared" si="2"/>
        <v>0</v>
      </c>
      <c r="J25" s="23">
        <f t="shared" si="3"/>
        <v>0</v>
      </c>
      <c r="K25" s="20">
        <v>10</v>
      </c>
    </row>
    <row r="26" spans="2:11" ht="20.25" customHeight="1">
      <c r="B26" s="64" t="s">
        <v>96</v>
      </c>
      <c r="C26" s="63"/>
      <c r="D26" s="63"/>
      <c r="E26" s="63"/>
      <c r="F26" s="63"/>
      <c r="G26" s="136"/>
      <c r="H26" s="11">
        <v>0</v>
      </c>
      <c r="I26" s="21">
        <f t="shared" si="2"/>
        <v>0</v>
      </c>
      <c r="J26" s="23">
        <f t="shared" si="3"/>
        <v>0</v>
      </c>
      <c r="K26" s="20">
        <v>10</v>
      </c>
    </row>
    <row r="27" spans="2:11" ht="20.25" customHeight="1">
      <c r="B27" s="64" t="s">
        <v>372</v>
      </c>
      <c r="C27" s="63"/>
      <c r="D27" s="63"/>
      <c r="E27" s="63"/>
      <c r="F27" s="63"/>
      <c r="G27" s="136"/>
      <c r="H27" s="11">
        <v>0</v>
      </c>
      <c r="I27" s="21">
        <f t="shared" si="2"/>
        <v>0</v>
      </c>
      <c r="J27" s="23">
        <f t="shared" si="3"/>
        <v>0</v>
      </c>
      <c r="K27" s="20">
        <v>10</v>
      </c>
    </row>
    <row r="28" spans="2:11" ht="12.75">
      <c r="B28" s="64"/>
      <c r="C28" s="60"/>
      <c r="D28" s="60"/>
      <c r="E28" s="60"/>
      <c r="F28" s="60"/>
      <c r="G28" s="136"/>
      <c r="I28" s="21"/>
      <c r="J28" s="23"/>
      <c r="K28" s="19">
        <f>SUM(K22:K27)</f>
        <v>60</v>
      </c>
    </row>
    <row r="29" spans="2:11" ht="12.75">
      <c r="B29" s="64"/>
      <c r="C29" s="60"/>
      <c r="D29" s="60"/>
      <c r="E29" s="60"/>
      <c r="F29" s="60"/>
      <c r="G29" s="136"/>
      <c r="I29" s="21"/>
      <c r="J29" s="23"/>
      <c r="K29" s="19"/>
    </row>
    <row r="30" spans="2:11" ht="25.5">
      <c r="B30" s="267" t="s">
        <v>377</v>
      </c>
      <c r="C30" s="152" t="s">
        <v>163</v>
      </c>
      <c r="D30" s="138" t="s">
        <v>164</v>
      </c>
      <c r="E30" s="138" t="s">
        <v>165</v>
      </c>
      <c r="F30" s="138" t="s">
        <v>166</v>
      </c>
      <c r="G30" s="139" t="s">
        <v>167</v>
      </c>
      <c r="I30" s="10"/>
      <c r="J30" s="10"/>
      <c r="K30" s="8"/>
    </row>
    <row r="31" spans="2:11" ht="20.25" customHeight="1">
      <c r="B31" s="64" t="s">
        <v>88</v>
      </c>
      <c r="C31" s="63"/>
      <c r="D31" s="63"/>
      <c r="E31" s="63"/>
      <c r="F31" s="63"/>
      <c r="G31" s="136"/>
      <c r="H31" s="11">
        <v>0</v>
      </c>
      <c r="I31" s="21">
        <f>IF(H31=1,K31,IF(H31=2,K31*0.9,IF(H31=3,K31*0.5,IF(H31=4,K31*0.1,IF(H31=5,K31*0,0)))))</f>
        <v>0</v>
      </c>
      <c r="J31" s="23">
        <f aca="true" t="shared" si="4" ref="J31:J36">+($C$4/100)*(I31/$K$80)</f>
        <v>0</v>
      </c>
      <c r="K31" s="37">
        <v>10</v>
      </c>
    </row>
    <row r="32" spans="2:11" ht="20.25" customHeight="1">
      <c r="B32" s="64" t="s">
        <v>87</v>
      </c>
      <c r="C32" s="63"/>
      <c r="D32" s="63"/>
      <c r="E32" s="63"/>
      <c r="F32" s="63"/>
      <c r="G32" s="136"/>
      <c r="H32" s="11">
        <v>0</v>
      </c>
      <c r="I32" s="21">
        <f>IF(H32=1,K32*0.1,IF(H32=2,K32*0.2,IF(H32=3,K32*0.6,IF(H32=4,K32,IF(H32=5,K32*0.8,0)))))</f>
        <v>0</v>
      </c>
      <c r="J32" s="23">
        <f t="shared" si="4"/>
        <v>0</v>
      </c>
      <c r="K32" s="37">
        <v>10</v>
      </c>
    </row>
    <row r="33" spans="2:11" ht="20.25" customHeight="1">
      <c r="B33" s="64" t="s">
        <v>89</v>
      </c>
      <c r="C33" s="63"/>
      <c r="D33" s="63"/>
      <c r="E33" s="63"/>
      <c r="F33" s="63"/>
      <c r="G33" s="136"/>
      <c r="H33" s="11">
        <v>0</v>
      </c>
      <c r="I33" s="21">
        <f>IF(H33=1,K33,IF(H33=2,K33*0.9,IF(H33=3,K33*0.5,IF(H33=4,K33*0.1,IF(H33=5,K33*0,0)))))</f>
        <v>0</v>
      </c>
      <c r="J33" s="23">
        <f t="shared" si="4"/>
        <v>0</v>
      </c>
      <c r="K33" s="37">
        <v>10</v>
      </c>
    </row>
    <row r="34" spans="2:11" ht="20.25" customHeight="1">
      <c r="B34" s="64" t="s">
        <v>90</v>
      </c>
      <c r="C34" s="63"/>
      <c r="D34" s="63"/>
      <c r="E34" s="63"/>
      <c r="F34" s="63"/>
      <c r="G34" s="136"/>
      <c r="H34" s="11">
        <v>0</v>
      </c>
      <c r="I34" s="21">
        <f>IF(H34=1,K34*0.1,IF(H34=2,K34*0.2,IF(H34=3,K34*0.5,IF(H34=4,K34*0.8,IF(H34=5,K34,0)))))</f>
        <v>0</v>
      </c>
      <c r="J34" s="23">
        <f t="shared" si="4"/>
        <v>0</v>
      </c>
      <c r="K34" s="37">
        <v>10</v>
      </c>
    </row>
    <row r="35" spans="2:11" ht="20.25" customHeight="1">
      <c r="B35" s="64" t="s">
        <v>91</v>
      </c>
      <c r="C35" s="63"/>
      <c r="D35" s="63"/>
      <c r="E35" s="63"/>
      <c r="F35" s="63"/>
      <c r="G35" s="136"/>
      <c r="H35" s="11">
        <v>0</v>
      </c>
      <c r="I35" s="21">
        <f>IF(H35=1,K35,IF(H35=2,K35*0.9,IF(H35=3,K35*0.5,IF(H35=4,K35*0.1,IF(H35=5,K35*0,0)))))</f>
        <v>0</v>
      </c>
      <c r="J35" s="23">
        <f t="shared" si="4"/>
        <v>0</v>
      </c>
      <c r="K35" s="37">
        <v>10</v>
      </c>
    </row>
    <row r="36" spans="2:11" ht="20.25" customHeight="1">
      <c r="B36" s="64" t="s">
        <v>92</v>
      </c>
      <c r="C36" s="63"/>
      <c r="D36" s="63"/>
      <c r="E36" s="63"/>
      <c r="F36" s="63"/>
      <c r="G36" s="136"/>
      <c r="H36" s="11">
        <v>0</v>
      </c>
      <c r="I36" s="21">
        <f>IF(H36=1,K36*0.8,IF(H36=2,K36,IF(H36=3,K36*0.8,IF(H36=4,K36*0.3,IF(H36=5,K36*0,0)))))</f>
        <v>0</v>
      </c>
      <c r="J36" s="23">
        <f t="shared" si="4"/>
        <v>0</v>
      </c>
      <c r="K36" s="37">
        <v>10</v>
      </c>
    </row>
    <row r="37" spans="2:11" ht="12.75">
      <c r="B37" s="64"/>
      <c r="C37" s="60"/>
      <c r="D37" s="60"/>
      <c r="E37" s="60"/>
      <c r="F37" s="60"/>
      <c r="G37" s="136"/>
      <c r="I37" s="10"/>
      <c r="J37" s="10"/>
      <c r="K37" s="8">
        <f>SUM(K31:K36)</f>
        <v>60</v>
      </c>
    </row>
    <row r="38" spans="2:11" ht="20.25" customHeight="1">
      <c r="B38" s="64" t="s">
        <v>160</v>
      </c>
      <c r="C38" s="60"/>
      <c r="D38" s="60"/>
      <c r="E38" s="60"/>
      <c r="F38" s="60"/>
      <c r="G38" s="136"/>
      <c r="I38" s="21"/>
      <c r="J38" s="23"/>
      <c r="K38" s="17"/>
    </row>
    <row r="39" spans="2:11" ht="20.25" customHeight="1">
      <c r="B39" s="65"/>
      <c r="C39" s="63"/>
      <c r="D39" s="63"/>
      <c r="E39" s="63"/>
      <c r="F39" s="63"/>
      <c r="G39" s="136"/>
      <c r="I39" s="10"/>
      <c r="J39" s="10"/>
      <c r="K39" s="8"/>
    </row>
    <row r="40" spans="2:11" ht="20.25" customHeight="1">
      <c r="B40" s="64"/>
      <c r="C40" s="63"/>
      <c r="D40" s="63"/>
      <c r="E40" s="63"/>
      <c r="F40" s="63"/>
      <c r="G40" s="136"/>
      <c r="H40" s="11">
        <v>0</v>
      </c>
      <c r="I40" s="10">
        <f>IF(H40=1,K40,0)</f>
        <v>0</v>
      </c>
      <c r="J40" s="23">
        <f>+($C$4/100)*(I40/$K$80)</f>
        <v>0</v>
      </c>
      <c r="K40" s="37">
        <v>10</v>
      </c>
    </row>
    <row r="41" spans="2:11" ht="20.25" customHeight="1">
      <c r="B41" s="64"/>
      <c r="C41" s="63"/>
      <c r="D41" s="63"/>
      <c r="E41" s="63"/>
      <c r="F41" s="63"/>
      <c r="G41" s="136"/>
      <c r="I41" s="10">
        <f>IF(H40=2,K41,0)</f>
        <v>0</v>
      </c>
      <c r="J41" s="23">
        <f>+($C$4/100)*(I41/$K$80)</f>
        <v>0</v>
      </c>
      <c r="K41" s="37">
        <v>7</v>
      </c>
    </row>
    <row r="42" spans="2:11" ht="20.25" customHeight="1">
      <c r="B42" s="64"/>
      <c r="C42" s="63"/>
      <c r="D42" s="63"/>
      <c r="E42" s="63"/>
      <c r="F42" s="63"/>
      <c r="G42" s="136"/>
      <c r="I42" s="10">
        <f>IF(H40=3,K42,0)</f>
        <v>0</v>
      </c>
      <c r="J42" s="23">
        <f>+($C$4/100)*(I42/$K$80)</f>
        <v>0</v>
      </c>
      <c r="K42" s="37">
        <v>0</v>
      </c>
    </row>
    <row r="43" spans="2:11" ht="12.75">
      <c r="B43" s="64"/>
      <c r="C43" s="60"/>
      <c r="D43" s="60"/>
      <c r="E43" s="60"/>
      <c r="F43" s="60"/>
      <c r="G43" s="136"/>
      <c r="I43" s="10"/>
      <c r="J43" s="10"/>
      <c r="K43" s="8">
        <f>+K40</f>
        <v>10</v>
      </c>
    </row>
    <row r="44" spans="2:11" ht="29.25" customHeight="1">
      <c r="B44" s="65"/>
      <c r="C44" s="291"/>
      <c r="D44" s="291"/>
      <c r="E44" s="291"/>
      <c r="F44" s="291"/>
      <c r="G44" s="291"/>
      <c r="H44" s="111"/>
      <c r="I44" s="10"/>
      <c r="J44" s="10"/>
      <c r="K44" s="8">
        <f>IF(H40&gt;0,K43,0)</f>
        <v>0</v>
      </c>
    </row>
    <row r="45" spans="2:11" ht="20.25" customHeight="1">
      <c r="B45" s="65" t="s">
        <v>153</v>
      </c>
      <c r="C45" s="63"/>
      <c r="D45" s="63"/>
      <c r="E45" s="63"/>
      <c r="F45" s="63"/>
      <c r="G45" s="133"/>
      <c r="H45" s="135"/>
      <c r="I45" s="10"/>
      <c r="J45" s="10"/>
      <c r="K45" s="8"/>
    </row>
    <row r="46" spans="2:11" ht="20.25" customHeight="1">
      <c r="B46" s="64" t="s">
        <v>93</v>
      </c>
      <c r="C46" s="63"/>
      <c r="D46" s="63"/>
      <c r="E46" s="63"/>
      <c r="F46" s="63"/>
      <c r="G46" s="133"/>
      <c r="H46" s="135">
        <v>0</v>
      </c>
      <c r="I46" s="10">
        <f>IF(H46=1,K46,0)</f>
        <v>0</v>
      </c>
      <c r="J46" s="23">
        <f>+($C$4/100)*(I46/$K$80)</f>
        <v>0</v>
      </c>
      <c r="K46" s="37">
        <v>10</v>
      </c>
    </row>
    <row r="47" spans="2:11" ht="20.25" customHeight="1">
      <c r="B47" s="64" t="s">
        <v>94</v>
      </c>
      <c r="C47" s="63"/>
      <c r="D47" s="63"/>
      <c r="E47" s="63"/>
      <c r="F47" s="63"/>
      <c r="G47" s="133"/>
      <c r="H47" s="135">
        <v>0</v>
      </c>
      <c r="I47" s="10">
        <f>IF(H47=1,K47,0)</f>
        <v>0</v>
      </c>
      <c r="J47" s="23">
        <f>+($C$4/100)*(I47/$K$80)</f>
        <v>0</v>
      </c>
      <c r="K47" s="37">
        <v>10</v>
      </c>
    </row>
    <row r="48" spans="2:11" ht="20.25" customHeight="1">
      <c r="B48" s="64" t="s">
        <v>98</v>
      </c>
      <c r="C48" s="63"/>
      <c r="D48" s="63"/>
      <c r="E48" s="63"/>
      <c r="F48" s="63"/>
      <c r="G48" s="133"/>
      <c r="H48" s="135">
        <v>0</v>
      </c>
      <c r="I48" s="10">
        <f>IF(H48=1,K48,0)</f>
        <v>0</v>
      </c>
      <c r="J48" s="23">
        <f>+($C$4/100)*(I48/$K$80)</f>
        <v>0</v>
      </c>
      <c r="K48" s="37">
        <v>10</v>
      </c>
    </row>
    <row r="49" spans="2:11" ht="20.25" customHeight="1">
      <c r="B49" s="64" t="s">
        <v>97</v>
      </c>
      <c r="C49" s="63"/>
      <c r="D49" s="63"/>
      <c r="E49" s="63"/>
      <c r="F49" s="63"/>
      <c r="G49" s="133"/>
      <c r="H49" s="135">
        <v>0</v>
      </c>
      <c r="I49" s="21">
        <f>IF(H49=1,0,IF(H49=2,K49*0.3,IF(H49=3,K49,0)))</f>
        <v>0</v>
      </c>
      <c r="J49" s="23">
        <f>+($C$4/100)*(I49/$K$80)</f>
        <v>0</v>
      </c>
      <c r="K49" s="37">
        <v>10</v>
      </c>
    </row>
    <row r="50" spans="2:11" ht="16.5" customHeight="1">
      <c r="B50" s="64"/>
      <c r="C50" s="60"/>
      <c r="D50" s="60"/>
      <c r="E50" s="60"/>
      <c r="F50" s="60"/>
      <c r="G50" s="136"/>
      <c r="I50" s="10"/>
      <c r="J50" s="10"/>
      <c r="K50" s="8">
        <f>SUM(K46:K49)</f>
        <v>40</v>
      </c>
    </row>
    <row r="51" spans="2:11" ht="20.25" customHeight="1">
      <c r="B51" s="65" t="s">
        <v>154</v>
      </c>
      <c r="C51" s="63"/>
      <c r="D51" s="63"/>
      <c r="E51" s="63"/>
      <c r="F51" s="63"/>
      <c r="G51" s="133"/>
      <c r="H51" s="135"/>
      <c r="I51" s="10"/>
      <c r="J51" s="10"/>
      <c r="K51" s="8"/>
    </row>
    <row r="52" spans="2:11" ht="20.25" customHeight="1">
      <c r="B52" s="64" t="s">
        <v>93</v>
      </c>
      <c r="C52" s="63"/>
      <c r="D52" s="63"/>
      <c r="E52" s="63"/>
      <c r="F52" s="63"/>
      <c r="G52" s="133"/>
      <c r="H52" s="135">
        <v>0</v>
      </c>
      <c r="I52" s="21">
        <f>IF(H52=1,0,IF(H52=2,K52*0.5,IF(H52=3,K52,0)))</f>
        <v>0</v>
      </c>
      <c r="J52" s="23">
        <f>+($C$4/100)*(I52/$K$80)</f>
        <v>0</v>
      </c>
      <c r="K52" s="37">
        <v>10</v>
      </c>
    </row>
    <row r="53" spans="2:11" ht="20.25" customHeight="1">
      <c r="B53" s="64" t="s">
        <v>94</v>
      </c>
      <c r="C53" s="63"/>
      <c r="D53" s="63"/>
      <c r="E53" s="63"/>
      <c r="F53" s="63"/>
      <c r="G53" s="133"/>
      <c r="H53" s="135">
        <v>0</v>
      </c>
      <c r="I53" s="21">
        <f>IF(H53=1,0,IF(H53=2,K53*0.5,IF(H53=3,K53,0)))</f>
        <v>0</v>
      </c>
      <c r="J53" s="23">
        <f>+($C$4/100)*(I53/$K$80)</f>
        <v>0</v>
      </c>
      <c r="K53" s="37">
        <v>10</v>
      </c>
    </row>
    <row r="54" spans="2:11" ht="20.25" customHeight="1">
      <c r="B54" s="64" t="s">
        <v>98</v>
      </c>
      <c r="C54" s="63"/>
      <c r="D54" s="63"/>
      <c r="E54" s="63"/>
      <c r="F54" s="63"/>
      <c r="G54" s="133"/>
      <c r="H54" s="135">
        <v>0</v>
      </c>
      <c r="I54" s="21">
        <f>IF(H54=1,K54,IF(H54=2,K54*0.5,IF(H54=3,0,0)))</f>
        <v>0</v>
      </c>
      <c r="J54" s="23">
        <f>+($C$4/100)*(I54/$K$80)</f>
        <v>0</v>
      </c>
      <c r="K54" s="37">
        <v>10</v>
      </c>
    </row>
    <row r="55" spans="2:11" ht="20.25" customHeight="1">
      <c r="B55" s="64" t="s">
        <v>155</v>
      </c>
      <c r="C55" s="63"/>
      <c r="D55" s="63"/>
      <c r="E55" s="63"/>
      <c r="F55" s="63"/>
      <c r="G55" s="133"/>
      <c r="H55" s="135">
        <v>0</v>
      </c>
      <c r="I55" s="10">
        <f>IF(H55=1,K55,0)</f>
        <v>0</v>
      </c>
      <c r="J55" s="23">
        <f>+($C$4/100)*(I55/$K$80)</f>
        <v>0</v>
      </c>
      <c r="K55" s="37">
        <v>10</v>
      </c>
    </row>
    <row r="56" spans="2:11" ht="12.75">
      <c r="B56" s="64"/>
      <c r="C56" s="60"/>
      <c r="D56" s="60"/>
      <c r="E56" s="60"/>
      <c r="F56" s="60"/>
      <c r="G56" s="136"/>
      <c r="I56" s="10"/>
      <c r="J56" s="10"/>
      <c r="K56" s="8">
        <f>SUM(K52:K55)</f>
        <v>40</v>
      </c>
    </row>
    <row r="57" spans="2:11" ht="20.25" customHeight="1">
      <c r="B57" s="65" t="s">
        <v>156</v>
      </c>
      <c r="C57" s="63"/>
      <c r="D57" s="63"/>
      <c r="E57" s="63"/>
      <c r="F57" s="63"/>
      <c r="G57" s="133"/>
      <c r="H57" s="135"/>
      <c r="I57" s="10"/>
      <c r="J57" s="10"/>
      <c r="K57" s="8"/>
    </row>
    <row r="58" spans="2:11" ht="20.25" customHeight="1">
      <c r="B58" s="64" t="s">
        <v>99</v>
      </c>
      <c r="C58" s="63"/>
      <c r="D58" s="63"/>
      <c r="E58" s="63"/>
      <c r="F58" s="63"/>
      <c r="G58" s="133"/>
      <c r="H58" s="135">
        <v>0</v>
      </c>
      <c r="I58" s="10">
        <f>IF(H58=1,K58,0)</f>
        <v>0</v>
      </c>
      <c r="J58" s="23">
        <f>+($C$4/100)*(I58/$K$80)</f>
        <v>0</v>
      </c>
      <c r="K58" s="37">
        <v>10</v>
      </c>
    </row>
    <row r="59" spans="2:11" ht="20.25" customHeight="1">
      <c r="B59" s="64" t="s">
        <v>94</v>
      </c>
      <c r="C59" s="63"/>
      <c r="D59" s="63"/>
      <c r="E59" s="63"/>
      <c r="F59" s="63"/>
      <c r="G59" s="133"/>
      <c r="H59" s="135">
        <v>0</v>
      </c>
      <c r="I59" s="21">
        <f>IF(H59=1,K59*0.3,IF(H59=2,K59,IF(H59=3,0,0)))</f>
        <v>0</v>
      </c>
      <c r="J59" s="23">
        <f>+($C$4/100)*(I59/$K$80)</f>
        <v>0</v>
      </c>
      <c r="K59" s="37">
        <v>10</v>
      </c>
    </row>
    <row r="60" spans="2:11" ht="20.25" customHeight="1">
      <c r="B60" s="64" t="s">
        <v>98</v>
      </c>
      <c r="C60" s="63"/>
      <c r="D60" s="63"/>
      <c r="E60" s="63"/>
      <c r="F60" s="63"/>
      <c r="G60" s="133"/>
      <c r="H60" s="135">
        <v>0</v>
      </c>
      <c r="I60" s="10">
        <f>IF(H60=2,K60,0)</f>
        <v>0</v>
      </c>
      <c r="J60" s="23">
        <f>+($C$4/100)*(I60/$K$80)</f>
        <v>0</v>
      </c>
      <c r="K60" s="37">
        <v>10</v>
      </c>
    </row>
    <row r="61" spans="2:11" ht="20.25" customHeight="1">
      <c r="B61" s="64" t="s">
        <v>97</v>
      </c>
      <c r="C61" s="63"/>
      <c r="D61" s="63"/>
      <c r="E61" s="63"/>
      <c r="F61" s="63"/>
      <c r="G61" s="133"/>
      <c r="H61" s="135">
        <v>0</v>
      </c>
      <c r="I61" s="21">
        <f>IF(H61=1,0,IF(H61=2,K61,IF(H61=3,K61*0.3,0)))</f>
        <v>0</v>
      </c>
      <c r="J61" s="23">
        <f>+($C$4/100)*(I61/$K$80)</f>
        <v>0</v>
      </c>
      <c r="K61" s="37">
        <v>10</v>
      </c>
    </row>
    <row r="62" spans="2:11" ht="16.5" customHeight="1">
      <c r="B62" s="64"/>
      <c r="C62" s="60"/>
      <c r="D62" s="60"/>
      <c r="E62" s="60"/>
      <c r="F62" s="60"/>
      <c r="G62" s="136"/>
      <c r="I62" s="10"/>
      <c r="J62" s="10"/>
      <c r="K62" s="8">
        <f>SUM(K58:K61)</f>
        <v>40</v>
      </c>
    </row>
    <row r="63" spans="2:11" ht="20.25" customHeight="1">
      <c r="B63" s="122" t="s">
        <v>157</v>
      </c>
      <c r="C63" s="63"/>
      <c r="D63" s="63"/>
      <c r="E63" s="63"/>
      <c r="F63" s="63"/>
      <c r="G63" s="133"/>
      <c r="H63" s="135"/>
      <c r="I63" s="10"/>
      <c r="J63" s="10"/>
      <c r="K63" s="8"/>
    </row>
    <row r="64" spans="2:11" ht="20.25" customHeight="1">
      <c r="B64" s="64" t="s">
        <v>158</v>
      </c>
      <c r="C64" s="60"/>
      <c r="D64" s="60"/>
      <c r="E64" s="60"/>
      <c r="F64" s="60"/>
      <c r="G64" s="136"/>
      <c r="H64" s="16">
        <v>0</v>
      </c>
      <c r="I64" s="21">
        <f>IF(H64=1,K64,IF(H64=2,K64*0.3,IF(H64=3,0,0)))</f>
        <v>0</v>
      </c>
      <c r="J64" s="23">
        <f>+($C$4/100)*(I64/$K$80)</f>
        <v>0</v>
      </c>
      <c r="K64" s="37">
        <v>10</v>
      </c>
    </row>
    <row r="65" spans="2:11" ht="20.25" customHeight="1">
      <c r="B65" s="64" t="s">
        <v>159</v>
      </c>
      <c r="C65" s="60"/>
      <c r="D65" s="60"/>
      <c r="E65" s="60"/>
      <c r="F65" s="60"/>
      <c r="G65" s="136"/>
      <c r="H65" s="16">
        <v>0</v>
      </c>
      <c r="I65" s="21">
        <f>IF(H65=1,K65,IF(H65=2,K65*0.3,IF(H65=3,0,0)))</f>
        <v>0</v>
      </c>
      <c r="J65" s="23">
        <f>+($C$4/100)*(I65/$K$80)</f>
        <v>0</v>
      </c>
      <c r="K65" s="37">
        <v>10</v>
      </c>
    </row>
    <row r="66" spans="2:11" ht="20.25" customHeight="1">
      <c r="B66" s="64" t="s">
        <v>368</v>
      </c>
      <c r="C66" s="60"/>
      <c r="D66" s="60"/>
      <c r="E66" s="60"/>
      <c r="F66" s="60"/>
      <c r="G66" s="136"/>
      <c r="H66" s="16">
        <v>0</v>
      </c>
      <c r="I66" s="10">
        <f>IF(H66=2,K66,0)</f>
        <v>0</v>
      </c>
      <c r="J66" s="23">
        <f>+($C$4/100)*(I66/$K$80)</f>
        <v>0</v>
      </c>
      <c r="K66" s="37">
        <v>10</v>
      </c>
    </row>
    <row r="67" spans="2:11" ht="20.25" customHeight="1">
      <c r="B67" s="64" t="s">
        <v>367</v>
      </c>
      <c r="C67" s="60"/>
      <c r="D67" s="60"/>
      <c r="E67" s="60"/>
      <c r="F67" s="60"/>
      <c r="G67" s="136"/>
      <c r="H67" s="16">
        <v>0</v>
      </c>
      <c r="I67" s="10">
        <f>IF(H67=3,K67,0)</f>
        <v>0</v>
      </c>
      <c r="J67" s="23">
        <f>+($C$4/100)*(I67/$K$80)</f>
        <v>0</v>
      </c>
      <c r="K67" s="37">
        <v>10</v>
      </c>
    </row>
    <row r="68" spans="2:11" ht="20.25" customHeight="1">
      <c r="B68" s="64" t="s">
        <v>369</v>
      </c>
      <c r="C68" s="60"/>
      <c r="D68" s="60"/>
      <c r="E68" s="60"/>
      <c r="F68" s="60"/>
      <c r="G68" s="136"/>
      <c r="H68" s="11">
        <v>0</v>
      </c>
      <c r="I68" s="10">
        <f>IF(H68=3,K68,0)</f>
        <v>0</v>
      </c>
      <c r="J68" s="23">
        <f>+($C$4/100)*(I68/$K$80)</f>
        <v>0</v>
      </c>
      <c r="K68" s="37">
        <v>10</v>
      </c>
    </row>
    <row r="69" spans="2:11" ht="20.25" customHeight="1">
      <c r="B69" s="64"/>
      <c r="C69" s="60"/>
      <c r="D69" s="60"/>
      <c r="E69" s="60"/>
      <c r="F69" s="60"/>
      <c r="G69" s="136"/>
      <c r="I69" s="10"/>
      <c r="J69" s="10"/>
      <c r="K69" s="8">
        <f>SUM(K64:K68)</f>
        <v>50</v>
      </c>
    </row>
    <row r="70" spans="2:11" ht="12.75">
      <c r="B70" s="64"/>
      <c r="C70" s="60"/>
      <c r="D70" s="60"/>
      <c r="E70" s="60"/>
      <c r="F70" s="60"/>
      <c r="G70" s="136"/>
      <c r="I70" s="10"/>
      <c r="J70" s="10"/>
      <c r="K70" s="8"/>
    </row>
    <row r="71" spans="2:11" ht="31.5" customHeight="1">
      <c r="B71" s="122" t="s">
        <v>378</v>
      </c>
      <c r="C71" s="63"/>
      <c r="D71" s="63"/>
      <c r="E71" s="63"/>
      <c r="F71" s="63"/>
      <c r="G71" s="133"/>
      <c r="I71" s="10"/>
      <c r="J71" s="10"/>
      <c r="K71" s="8"/>
    </row>
    <row r="72" spans="2:11" ht="20.25" customHeight="1">
      <c r="B72" s="64" t="s">
        <v>100</v>
      </c>
      <c r="C72" s="63"/>
      <c r="D72" s="63"/>
      <c r="E72" s="63"/>
      <c r="F72" s="63"/>
      <c r="G72" s="133"/>
      <c r="H72" s="11">
        <v>0</v>
      </c>
      <c r="I72" s="10">
        <f>IF(H72=1,K72,0)</f>
        <v>0</v>
      </c>
      <c r="J72" s="23">
        <f aca="true" t="shared" si="5" ref="J72:J77">+($C$4/100)*(I72/$K$80)</f>
        <v>0</v>
      </c>
      <c r="K72" s="37">
        <v>10</v>
      </c>
    </row>
    <row r="73" spans="2:11" ht="20.25" customHeight="1">
      <c r="B73" s="64" t="s">
        <v>101</v>
      </c>
      <c r="C73" s="63"/>
      <c r="D73" s="63"/>
      <c r="E73" s="63"/>
      <c r="F73" s="63"/>
      <c r="G73" s="133"/>
      <c r="H73" s="11">
        <v>0</v>
      </c>
      <c r="I73" s="10">
        <f>IF(H73=1,K73,0)</f>
        <v>0</v>
      </c>
      <c r="J73" s="23">
        <f t="shared" si="5"/>
        <v>0</v>
      </c>
      <c r="K73" s="37">
        <v>10</v>
      </c>
    </row>
    <row r="74" spans="2:11" ht="20.25" customHeight="1">
      <c r="B74" s="64" t="s">
        <v>102</v>
      </c>
      <c r="C74" s="63"/>
      <c r="D74" s="63"/>
      <c r="E74" s="63"/>
      <c r="F74" s="63"/>
      <c r="G74" s="133"/>
      <c r="H74" s="11">
        <v>0</v>
      </c>
      <c r="I74" s="10">
        <f>IF(H74=2,K74,0)</f>
        <v>0</v>
      </c>
      <c r="J74" s="23">
        <f t="shared" si="5"/>
        <v>0</v>
      </c>
      <c r="K74" s="37">
        <v>10</v>
      </c>
    </row>
    <row r="75" spans="2:11" ht="20.25" customHeight="1">
      <c r="B75" s="64" t="s">
        <v>106</v>
      </c>
      <c r="C75" s="63"/>
      <c r="D75" s="63"/>
      <c r="E75" s="63"/>
      <c r="F75" s="63"/>
      <c r="G75" s="133"/>
      <c r="H75" s="11">
        <v>0</v>
      </c>
      <c r="I75" s="10">
        <f>IF(H75=1,K75,0)</f>
        <v>0</v>
      </c>
      <c r="J75" s="23">
        <f t="shared" si="5"/>
        <v>0</v>
      </c>
      <c r="K75" s="37">
        <v>10</v>
      </c>
    </row>
    <row r="76" spans="2:11" ht="20.25" customHeight="1">
      <c r="B76" s="64" t="s">
        <v>103</v>
      </c>
      <c r="C76" s="63"/>
      <c r="D76" s="63"/>
      <c r="E76" s="63"/>
      <c r="F76" s="63"/>
      <c r="G76" s="133"/>
      <c r="H76" s="11">
        <v>0</v>
      </c>
      <c r="I76" s="10">
        <f>IF(H76=2,K76,0)</f>
        <v>0</v>
      </c>
      <c r="J76" s="23">
        <f t="shared" si="5"/>
        <v>0</v>
      </c>
      <c r="K76" s="37">
        <v>10</v>
      </c>
    </row>
    <row r="77" spans="2:11" ht="20.25" customHeight="1">
      <c r="B77" s="64" t="s">
        <v>104</v>
      </c>
      <c r="C77" s="63"/>
      <c r="D77" s="63"/>
      <c r="E77" s="63"/>
      <c r="F77" s="63"/>
      <c r="G77" s="133"/>
      <c r="H77" s="11">
        <v>0</v>
      </c>
      <c r="I77" s="10">
        <f>IF(H77=1,K77,0)</f>
        <v>0</v>
      </c>
      <c r="J77" s="23">
        <f t="shared" si="5"/>
        <v>0</v>
      </c>
      <c r="K77" s="37">
        <v>10</v>
      </c>
    </row>
    <row r="78" spans="9:11" ht="12.75">
      <c r="I78" s="10"/>
      <c r="J78" s="10"/>
      <c r="K78" s="8">
        <f>SUM(K72:K77)</f>
        <v>60</v>
      </c>
    </row>
    <row r="79" spans="9:11" ht="12.75">
      <c r="I79" s="10"/>
      <c r="J79" s="10"/>
      <c r="K79" s="8"/>
    </row>
    <row r="80" spans="2:11" ht="18.75" customHeight="1">
      <c r="B80" s="175" t="s">
        <v>349</v>
      </c>
      <c r="I80" s="10"/>
      <c r="J80" s="46">
        <f>SUM(J14:J77)</f>
        <v>0</v>
      </c>
      <c r="K80" s="8">
        <f>+K20+K28+K44+K37+K50+K56+K62+K69+K78</f>
        <v>410</v>
      </c>
    </row>
    <row r="82" spans="1:10" ht="12.75" hidden="1">
      <c r="A82" s="69"/>
      <c r="B82" s="76" t="s">
        <v>81</v>
      </c>
      <c r="C82" s="69"/>
      <c r="D82" s="69"/>
      <c r="E82" s="69"/>
      <c r="F82" s="69"/>
      <c r="G82" s="69"/>
      <c r="J82" s="28">
        <f>+J80*100</f>
        <v>0</v>
      </c>
    </row>
    <row r="83" ht="12.75">
      <c r="B83" s="156" t="s">
        <v>350</v>
      </c>
    </row>
    <row r="84" spans="2:6" ht="12.75">
      <c r="B84" s="292"/>
      <c r="C84" s="293"/>
      <c r="D84" s="125"/>
      <c r="E84" s="125"/>
      <c r="F84" s="125"/>
    </row>
    <row r="85" spans="3:6" ht="12.75">
      <c r="C85" s="63"/>
      <c r="D85" s="63"/>
      <c r="E85" s="63"/>
      <c r="F85" s="63"/>
    </row>
  </sheetData>
  <sheetProtection/>
  <mergeCells count="3">
    <mergeCell ref="C44:G44"/>
    <mergeCell ref="B84:C84"/>
    <mergeCell ref="B8:G8"/>
  </mergeCells>
  <printOptions/>
  <pageMargins left="1.141732283464567" right="0.7086614173228347" top="0.35433070866141736" bottom="0.31496062992125984" header="0.31496062992125984" footer="0.35433070866141736"/>
  <pageSetup horizontalDpi="600" verticalDpi="600" orientation="portrait" paperSize="9" scale="70" r:id="rId3"/>
  <rowBreaks count="1" manualBreakCount="1">
    <brk id="37" max="255" man="1"/>
  </rowBreaks>
  <legacyDrawing r:id="rId2"/>
</worksheet>
</file>

<file path=xl/worksheets/sheet16.xml><?xml version="1.0" encoding="utf-8"?>
<worksheet xmlns="http://schemas.openxmlformats.org/spreadsheetml/2006/main" xmlns:r="http://schemas.openxmlformats.org/officeDocument/2006/relationships">
  <sheetPr codeName="Ark1">
    <pageSetUpPr fitToPage="1"/>
  </sheetPr>
  <dimension ref="B2:H27"/>
  <sheetViews>
    <sheetView showGridLines="0" workbookViewId="0" topLeftCell="A1">
      <selection activeCell="A1" sqref="A1"/>
    </sheetView>
  </sheetViews>
  <sheetFormatPr defaultColWidth="9.140625" defaultRowHeight="15"/>
  <cols>
    <col min="1" max="1" width="2.8515625" style="50" customWidth="1"/>
    <col min="2" max="2" width="2.57421875" style="50" bestFit="1" customWidth="1"/>
    <col min="3" max="3" width="90.28125" style="51" customWidth="1"/>
    <col min="4" max="4" width="9.00390625" style="52" customWidth="1"/>
    <col min="5" max="5" width="9.57421875" style="53" customWidth="1"/>
    <col min="6" max="6" width="4.140625" style="53" customWidth="1"/>
    <col min="7" max="7" width="11.57421875" style="54" customWidth="1"/>
    <col min="8" max="16384" width="9.140625" style="50" customWidth="1"/>
  </cols>
  <sheetData>
    <row r="1" ht="8.25" customHeight="1"/>
    <row r="2" spans="2:7" s="103" customFormat="1" ht="18">
      <c r="B2" s="296" t="s">
        <v>0</v>
      </c>
      <c r="C2" s="296"/>
      <c r="D2" s="296"/>
      <c r="E2" s="296"/>
      <c r="F2" s="276"/>
      <c r="G2" s="276"/>
    </row>
    <row r="3" spans="2:7" ht="8.25" customHeight="1">
      <c r="B3" s="55"/>
      <c r="C3" s="55"/>
      <c r="D3" s="55"/>
      <c r="E3" s="55"/>
      <c r="F3" s="55"/>
      <c r="G3" s="55"/>
    </row>
    <row r="4" spans="2:5" s="51" customFormat="1" ht="57.75" customHeight="1">
      <c r="B4" s="295" t="s">
        <v>360</v>
      </c>
      <c r="C4" s="295"/>
      <c r="D4" s="295"/>
      <c r="E4" s="295"/>
    </row>
    <row r="5" spans="2:7" s="51" customFormat="1" ht="12.75">
      <c r="B5" s="170"/>
      <c r="D5" s="171"/>
      <c r="E5" s="170"/>
      <c r="F5" s="170"/>
      <c r="G5" s="170"/>
    </row>
    <row r="6" spans="2:7" ht="42.75" customHeight="1">
      <c r="B6" s="301" t="s">
        <v>28</v>
      </c>
      <c r="C6" s="302"/>
      <c r="D6" s="151" t="s">
        <v>26</v>
      </c>
      <c r="E6" s="93" t="s">
        <v>27</v>
      </c>
      <c r="F6" s="157"/>
      <c r="G6" s="294" t="s">
        <v>335</v>
      </c>
    </row>
    <row r="7" spans="2:7" ht="15.75" customHeight="1">
      <c r="B7" s="303"/>
      <c r="C7" s="304"/>
      <c r="D7" s="306" t="s">
        <v>64</v>
      </c>
      <c r="E7" s="306"/>
      <c r="F7" s="158"/>
      <c r="G7" s="294"/>
    </row>
    <row r="8" spans="2:8" ht="27.75" customHeight="1">
      <c r="B8" s="305" t="s">
        <v>31</v>
      </c>
      <c r="C8" s="94" t="s">
        <v>39</v>
      </c>
      <c r="D8" s="95"/>
      <c r="E8" s="96"/>
      <c r="F8" s="159"/>
      <c r="G8" s="294"/>
      <c r="H8" s="92"/>
    </row>
    <row r="9" spans="2:7" ht="25.5" customHeight="1">
      <c r="B9" s="305"/>
      <c r="C9" s="148" t="s">
        <v>193</v>
      </c>
      <c r="D9" s="97">
        <f>+1a!F95</f>
        <v>0</v>
      </c>
      <c r="E9" s="98">
        <v>20</v>
      </c>
      <c r="F9" s="160"/>
      <c r="G9" s="166" t="s">
        <v>122</v>
      </c>
    </row>
    <row r="10" spans="2:7" ht="25.5" customHeight="1">
      <c r="B10" s="305"/>
      <c r="C10" s="148" t="s">
        <v>194</v>
      </c>
      <c r="D10" s="97">
        <f>+1b!G31</f>
        <v>0</v>
      </c>
      <c r="E10" s="98">
        <v>4</v>
      </c>
      <c r="F10" s="160"/>
      <c r="G10" s="166" t="s">
        <v>123</v>
      </c>
    </row>
    <row r="11" spans="2:7" ht="25.5" customHeight="1">
      <c r="B11" s="305"/>
      <c r="C11" s="148" t="s">
        <v>195</v>
      </c>
      <c r="D11" s="97">
        <f>+1c!F29</f>
        <v>0</v>
      </c>
      <c r="E11" s="98">
        <v>8</v>
      </c>
      <c r="F11" s="160"/>
      <c r="G11" s="166" t="s">
        <v>124</v>
      </c>
    </row>
    <row r="12" spans="2:7" ht="25.5" customHeight="1">
      <c r="B12" s="305"/>
      <c r="C12" s="148" t="s">
        <v>196</v>
      </c>
      <c r="D12" s="97">
        <f>+1d!F26</f>
        <v>0</v>
      </c>
      <c r="E12" s="98">
        <v>2</v>
      </c>
      <c r="F12" s="160"/>
      <c r="G12" s="166" t="s">
        <v>125</v>
      </c>
    </row>
    <row r="13" spans="2:7" ht="25.5" customHeight="1">
      <c r="B13" s="305"/>
      <c r="C13" s="148" t="s">
        <v>197</v>
      </c>
      <c r="D13" s="97">
        <f>+1e!G23</f>
        <v>0</v>
      </c>
      <c r="E13" s="98">
        <v>3</v>
      </c>
      <c r="F13" s="160"/>
      <c r="G13" s="166" t="s">
        <v>126</v>
      </c>
    </row>
    <row r="14" spans="2:7" ht="25.5" customHeight="1">
      <c r="B14" s="305"/>
      <c r="C14" s="148" t="s">
        <v>198</v>
      </c>
      <c r="D14" s="97">
        <f>+1f!F44</f>
        <v>0</v>
      </c>
      <c r="E14" s="98">
        <v>3</v>
      </c>
      <c r="F14" s="160"/>
      <c r="G14" s="166" t="s">
        <v>127</v>
      </c>
    </row>
    <row r="15" spans="2:7" ht="21" customHeight="1">
      <c r="B15" s="305"/>
      <c r="C15" s="167" t="s">
        <v>22</v>
      </c>
      <c r="D15" s="168">
        <f>SUM(D9:D14)</f>
        <v>0</v>
      </c>
      <c r="E15" s="169">
        <f>SUM(E9:E14)</f>
        <v>40</v>
      </c>
      <c r="F15" s="161"/>
      <c r="G15" s="165"/>
    </row>
    <row r="16" spans="2:7" ht="34.5" customHeight="1">
      <c r="B16" s="150" t="s">
        <v>32</v>
      </c>
      <c r="C16" s="94" t="s">
        <v>40</v>
      </c>
      <c r="D16" s="97">
        <f>+2!F37</f>
        <v>0</v>
      </c>
      <c r="E16" s="98">
        <v>12</v>
      </c>
      <c r="F16" s="160"/>
      <c r="G16" s="166">
        <v>2</v>
      </c>
    </row>
    <row r="17" spans="2:7" ht="34.5" customHeight="1">
      <c r="B17" s="150" t="s">
        <v>33</v>
      </c>
      <c r="C17" s="94" t="s">
        <v>41</v>
      </c>
      <c r="D17" s="97">
        <f>+3!F65</f>
        <v>0</v>
      </c>
      <c r="E17" s="98">
        <v>12</v>
      </c>
      <c r="F17" s="160"/>
      <c r="G17" s="166">
        <v>3</v>
      </c>
    </row>
    <row r="18" spans="2:7" ht="34.5" customHeight="1">
      <c r="B18" s="150" t="s">
        <v>34</v>
      </c>
      <c r="C18" s="94" t="s">
        <v>42</v>
      </c>
      <c r="D18" s="97">
        <f>+4!F40</f>
        <v>0</v>
      </c>
      <c r="E18" s="98">
        <v>8</v>
      </c>
      <c r="F18" s="160"/>
      <c r="G18" s="166">
        <v>4</v>
      </c>
    </row>
    <row r="19" spans="2:7" ht="34.5" customHeight="1">
      <c r="B19" s="150" t="s">
        <v>35</v>
      </c>
      <c r="C19" s="94" t="s">
        <v>43</v>
      </c>
      <c r="D19" s="97">
        <f>+5!F21</f>
        <v>8</v>
      </c>
      <c r="E19" s="98">
        <v>8</v>
      </c>
      <c r="F19" s="160"/>
      <c r="G19" s="166">
        <v>5</v>
      </c>
    </row>
    <row r="20" spans="2:7" ht="34.5" customHeight="1">
      <c r="B20" s="150" t="s">
        <v>36</v>
      </c>
      <c r="C20" s="94" t="s">
        <v>44</v>
      </c>
      <c r="D20" s="97">
        <f>+6!F39</f>
        <v>0</v>
      </c>
      <c r="E20" s="98">
        <v>10</v>
      </c>
      <c r="F20" s="160"/>
      <c r="G20" s="166">
        <v>6</v>
      </c>
    </row>
    <row r="21" spans="2:7" ht="34.5" customHeight="1">
      <c r="B21" s="150" t="s">
        <v>37</v>
      </c>
      <c r="C21" s="94" t="s">
        <v>45</v>
      </c>
      <c r="D21" s="97">
        <f>+7!F21</f>
        <v>0</v>
      </c>
      <c r="E21" s="98">
        <v>5</v>
      </c>
      <c r="F21" s="160"/>
      <c r="G21" s="166">
        <v>7</v>
      </c>
    </row>
    <row r="22" spans="2:7" ht="34.5" customHeight="1">
      <c r="B22" s="150" t="s">
        <v>38</v>
      </c>
      <c r="C22" s="94" t="s">
        <v>46</v>
      </c>
      <c r="D22" s="97">
        <f>+8!F28</f>
        <v>0</v>
      </c>
      <c r="E22" s="98">
        <v>5</v>
      </c>
      <c r="F22" s="160"/>
      <c r="G22" s="166">
        <v>8</v>
      </c>
    </row>
    <row r="23" spans="2:7" ht="27" customHeight="1">
      <c r="B23" s="300" t="s">
        <v>86</v>
      </c>
      <c r="C23" s="300"/>
      <c r="D23" s="99">
        <f>SUM(D15:D22)</f>
        <v>8</v>
      </c>
      <c r="E23" s="100">
        <f>SUM(E15:E22)</f>
        <v>100</v>
      </c>
      <c r="F23" s="162"/>
      <c r="G23" s="165"/>
    </row>
    <row r="24" spans="2:7" ht="13.5" customHeight="1">
      <c r="B24" s="281"/>
      <c r="C24" s="281"/>
      <c r="D24" s="281"/>
      <c r="E24" s="281"/>
      <c r="F24" s="281"/>
      <c r="G24" s="281"/>
    </row>
    <row r="25" spans="2:7" ht="12.75">
      <c r="B25" s="299"/>
      <c r="C25" s="299"/>
      <c r="D25" s="297" t="s">
        <v>109</v>
      </c>
      <c r="E25" s="297"/>
      <c r="F25" s="163"/>
      <c r="G25" s="165"/>
    </row>
    <row r="26" spans="2:7" ht="39.75" customHeight="1">
      <c r="B26" s="298" t="s">
        <v>108</v>
      </c>
      <c r="C26" s="298"/>
      <c r="D26" s="106">
        <f>+Bevågenhed!J82</f>
        <v>0</v>
      </c>
      <c r="E26" s="107">
        <v>100</v>
      </c>
      <c r="F26" s="164"/>
      <c r="G26" s="166" t="s">
        <v>109</v>
      </c>
    </row>
    <row r="27" spans="5:6" ht="12.75">
      <c r="E27" s="56"/>
      <c r="F27" s="56"/>
    </row>
  </sheetData>
  <sheetProtection/>
  <mergeCells count="10">
    <mergeCell ref="G6:G8"/>
    <mergeCell ref="B4:E4"/>
    <mergeCell ref="B2:E2"/>
    <mergeCell ref="D25:E25"/>
    <mergeCell ref="B26:C26"/>
    <mergeCell ref="B25:C25"/>
    <mergeCell ref="B23:C23"/>
    <mergeCell ref="B6:C7"/>
    <mergeCell ref="B8:B15"/>
    <mergeCell ref="D7:E7"/>
  </mergeCells>
  <printOptions/>
  <pageMargins left="0.7480314960629921" right="0.7480314960629921" top="0.984251968503937" bottom="0.984251968503937" header="0.5118110236220472" footer="0.5118110236220472"/>
  <pageSetup fitToHeight="1" fitToWidth="1" horizontalDpi="300" verticalDpi="300" orientation="portrait" paperSize="9" scale="72" r:id="rId4"/>
  <drawing r:id="rId3"/>
  <legacyDrawing r:id="rId2"/>
</worksheet>
</file>

<file path=xl/worksheets/sheet17.xml><?xml version="1.0" encoding="utf-8"?>
<worksheet xmlns="http://schemas.openxmlformats.org/spreadsheetml/2006/main" xmlns:r="http://schemas.openxmlformats.org/officeDocument/2006/relationships">
  <sheetPr codeName="Ark17"/>
  <dimension ref="A1:FY3"/>
  <sheetViews>
    <sheetView zoomScalePageLayoutView="0" workbookViewId="0" topLeftCell="CF1">
      <selection activeCell="CZ12" sqref="CZ12"/>
    </sheetView>
  </sheetViews>
  <sheetFormatPr defaultColWidth="9.140625" defaultRowHeight="15"/>
  <cols>
    <col min="16" max="16" width="8.421875" style="0" bestFit="1" customWidth="1"/>
  </cols>
  <sheetData>
    <row r="1" spans="2:140" ht="15">
      <c r="B1" t="s">
        <v>253</v>
      </c>
      <c r="P1" t="s">
        <v>254</v>
      </c>
      <c r="AM1" t="s">
        <v>255</v>
      </c>
      <c r="AQ1" t="s">
        <v>256</v>
      </c>
      <c r="BA1" t="s">
        <v>257</v>
      </c>
      <c r="BC1" t="s">
        <v>252</v>
      </c>
      <c r="BJ1" t="s">
        <v>251</v>
      </c>
      <c r="CA1" t="s">
        <v>250</v>
      </c>
      <c r="CL1" t="s">
        <v>249</v>
      </c>
      <c r="DQ1" t="s">
        <v>276</v>
      </c>
      <c r="DV1" t="s">
        <v>282</v>
      </c>
      <c r="DW1" t="s">
        <v>284</v>
      </c>
      <c r="EA1" t="s">
        <v>289</v>
      </c>
      <c r="EE1" t="s">
        <v>294</v>
      </c>
      <c r="EJ1" t="s">
        <v>109</v>
      </c>
    </row>
    <row r="2" spans="1:181" ht="15">
      <c r="A2" t="s">
        <v>121</v>
      </c>
      <c r="B2" t="s">
        <v>122</v>
      </c>
      <c r="C2" t="s">
        <v>123</v>
      </c>
      <c r="D2" t="s">
        <v>124</v>
      </c>
      <c r="E2" t="s">
        <v>125</v>
      </c>
      <c r="F2" t="s">
        <v>126</v>
      </c>
      <c r="G2" t="s">
        <v>127</v>
      </c>
      <c r="H2">
        <v>2</v>
      </c>
      <c r="I2">
        <v>3</v>
      </c>
      <c r="J2">
        <v>4</v>
      </c>
      <c r="K2">
        <v>5</v>
      </c>
      <c r="L2">
        <v>6</v>
      </c>
      <c r="M2">
        <v>7</v>
      </c>
      <c r="N2">
        <v>8</v>
      </c>
      <c r="O2" t="s">
        <v>109</v>
      </c>
      <c r="P2" t="s">
        <v>128</v>
      </c>
      <c r="Q2" t="s">
        <v>129</v>
      </c>
      <c r="R2" t="s">
        <v>130</v>
      </c>
      <c r="S2" t="s">
        <v>131</v>
      </c>
      <c r="T2" t="s">
        <v>132</v>
      </c>
      <c r="U2" t="s">
        <v>11</v>
      </c>
      <c r="V2" t="s">
        <v>12</v>
      </c>
      <c r="W2" t="s">
        <v>133</v>
      </c>
      <c r="X2" t="s">
        <v>134</v>
      </c>
      <c r="Y2" t="s">
        <v>8</v>
      </c>
      <c r="Z2" t="s">
        <v>135</v>
      </c>
      <c r="AA2" t="s">
        <v>136</v>
      </c>
      <c r="AB2" t="s">
        <v>137</v>
      </c>
      <c r="AC2" t="s">
        <v>138</v>
      </c>
      <c r="AD2" t="s">
        <v>139</v>
      </c>
      <c r="AE2" t="s">
        <v>140</v>
      </c>
      <c r="AF2" t="s">
        <v>141</v>
      </c>
      <c r="AG2" t="s">
        <v>142</v>
      </c>
      <c r="AH2" t="s">
        <v>143</v>
      </c>
      <c r="AI2" t="s">
        <v>144</v>
      </c>
      <c r="AJ2" t="s">
        <v>148</v>
      </c>
      <c r="AK2" t="s">
        <v>145</v>
      </c>
      <c r="AL2" t="s">
        <v>146</v>
      </c>
      <c r="AM2" t="s">
        <v>147</v>
      </c>
      <c r="AN2" t="s">
        <v>200</v>
      </c>
      <c r="AO2" t="s">
        <v>201</v>
      </c>
      <c r="AP2" t="s">
        <v>202</v>
      </c>
      <c r="AQ2" t="s">
        <v>203</v>
      </c>
      <c r="AR2" t="s">
        <v>204</v>
      </c>
      <c r="AS2" t="s">
        <v>205</v>
      </c>
      <c r="AT2" t="s">
        <v>206</v>
      </c>
      <c r="AU2" t="s">
        <v>207</v>
      </c>
      <c r="AV2" t="s">
        <v>208</v>
      </c>
      <c r="AW2" t="s">
        <v>209</v>
      </c>
      <c r="AX2" t="s">
        <v>210</v>
      </c>
      <c r="AY2" t="s">
        <v>211</v>
      </c>
      <c r="AZ2" t="s">
        <v>375</v>
      </c>
      <c r="BA2" t="s">
        <v>212</v>
      </c>
      <c r="BB2" t="s">
        <v>213</v>
      </c>
      <c r="BC2" t="s">
        <v>214</v>
      </c>
      <c r="BD2" t="s">
        <v>215</v>
      </c>
      <c r="BE2" t="s">
        <v>216</v>
      </c>
      <c r="BF2" t="s">
        <v>217</v>
      </c>
      <c r="BG2" t="s">
        <v>218</v>
      </c>
      <c r="BH2" t="s">
        <v>219</v>
      </c>
      <c r="BI2" t="s">
        <v>220</v>
      </c>
      <c r="BJ2" t="s">
        <v>221</v>
      </c>
      <c r="BK2" t="s">
        <v>222</v>
      </c>
      <c r="BL2" t="s">
        <v>223</v>
      </c>
      <c r="BM2" t="s">
        <v>224</v>
      </c>
      <c r="BN2" t="s">
        <v>225</v>
      </c>
      <c r="BO2" t="s">
        <v>226</v>
      </c>
      <c r="BP2" t="s">
        <v>227</v>
      </c>
      <c r="BQ2" t="s">
        <v>228</v>
      </c>
      <c r="BR2" t="s">
        <v>229</v>
      </c>
      <c r="BS2" t="s">
        <v>230</v>
      </c>
      <c r="BT2" t="s">
        <v>231</v>
      </c>
      <c r="BU2" t="s">
        <v>232</v>
      </c>
      <c r="BV2" t="s">
        <v>233</v>
      </c>
      <c r="BW2" t="s">
        <v>230</v>
      </c>
      <c r="BX2" t="s">
        <v>234</v>
      </c>
      <c r="BY2" t="s">
        <v>235</v>
      </c>
      <c r="BZ2" t="s">
        <v>236</v>
      </c>
      <c r="CA2" t="s">
        <v>237</v>
      </c>
      <c r="CB2" t="s">
        <v>238</v>
      </c>
      <c r="CC2" t="s">
        <v>239</v>
      </c>
      <c r="CD2" t="s">
        <v>240</v>
      </c>
      <c r="CE2" t="s">
        <v>241</v>
      </c>
      <c r="CF2" t="s">
        <v>242</v>
      </c>
      <c r="CG2" t="s">
        <v>243</v>
      </c>
      <c r="CH2" t="s">
        <v>244</v>
      </c>
      <c r="CI2" t="s">
        <v>245</v>
      </c>
      <c r="CJ2" t="s">
        <v>246</v>
      </c>
      <c r="CK2" t="s">
        <v>247</v>
      </c>
      <c r="CL2" t="s">
        <v>248</v>
      </c>
      <c r="CM2" t="s">
        <v>242</v>
      </c>
      <c r="CN2" t="s">
        <v>258</v>
      </c>
      <c r="CO2" t="s">
        <v>259</v>
      </c>
      <c r="CP2" t="s">
        <v>244</v>
      </c>
      <c r="CQ2" t="s">
        <v>260</v>
      </c>
      <c r="CR2" t="s">
        <v>261</v>
      </c>
      <c r="CS2" t="s">
        <v>258</v>
      </c>
      <c r="CT2" t="s">
        <v>262</v>
      </c>
      <c r="CU2" t="s">
        <v>238</v>
      </c>
      <c r="CV2" t="s">
        <v>263</v>
      </c>
      <c r="CW2" t="s">
        <v>380</v>
      </c>
      <c r="CX2" t="s">
        <v>262</v>
      </c>
      <c r="CY2" t="s">
        <v>238</v>
      </c>
      <c r="CZ2" t="s">
        <v>263</v>
      </c>
      <c r="DA2" t="s">
        <v>264</v>
      </c>
      <c r="DB2" t="s">
        <v>262</v>
      </c>
      <c r="DC2" t="s">
        <v>238</v>
      </c>
      <c r="DD2" t="s">
        <v>265</v>
      </c>
      <c r="DE2" t="s">
        <v>266</v>
      </c>
      <c r="DF2" t="s">
        <v>267</v>
      </c>
      <c r="DG2" t="s">
        <v>268</v>
      </c>
      <c r="DH2" t="s">
        <v>269</v>
      </c>
      <c r="DI2" t="s">
        <v>238</v>
      </c>
      <c r="DJ2" t="s">
        <v>270</v>
      </c>
      <c r="DK2" t="s">
        <v>352</v>
      </c>
      <c r="DL2" t="s">
        <v>271</v>
      </c>
      <c r="DM2" t="s">
        <v>272</v>
      </c>
      <c r="DN2" t="s">
        <v>273</v>
      </c>
      <c r="DO2" t="s">
        <v>274</v>
      </c>
      <c r="DP2" t="s">
        <v>275</v>
      </c>
      <c r="DQ2" t="s">
        <v>277</v>
      </c>
      <c r="DR2" t="s">
        <v>278</v>
      </c>
      <c r="DS2" t="s">
        <v>279</v>
      </c>
      <c r="DT2" t="s">
        <v>280</v>
      </c>
      <c r="DU2" t="s">
        <v>281</v>
      </c>
      <c r="DV2" t="s">
        <v>283</v>
      </c>
      <c r="DW2" t="s">
        <v>285</v>
      </c>
      <c r="DX2" t="s">
        <v>286</v>
      </c>
      <c r="DY2" t="s">
        <v>287</v>
      </c>
      <c r="DZ2" t="s">
        <v>288</v>
      </c>
      <c r="EA2" t="s">
        <v>290</v>
      </c>
      <c r="EB2" t="s">
        <v>291</v>
      </c>
      <c r="EC2" t="s">
        <v>292</v>
      </c>
      <c r="ED2" t="s">
        <v>293</v>
      </c>
      <c r="EE2" t="s">
        <v>295</v>
      </c>
      <c r="EF2" t="s">
        <v>296</v>
      </c>
      <c r="EG2" t="s">
        <v>297</v>
      </c>
      <c r="EH2" t="s">
        <v>298</v>
      </c>
      <c r="EI2" t="s">
        <v>299</v>
      </c>
      <c r="EJ2" t="s">
        <v>300</v>
      </c>
      <c r="EK2" t="s">
        <v>301</v>
      </c>
      <c r="EL2" t="s">
        <v>238</v>
      </c>
      <c r="EM2" t="s">
        <v>302</v>
      </c>
      <c r="EN2" t="s">
        <v>299</v>
      </c>
      <c r="EO2" t="s">
        <v>296</v>
      </c>
      <c r="EP2" t="s">
        <v>303</v>
      </c>
      <c r="EQ2" t="s">
        <v>137</v>
      </c>
      <c r="ER2" t="s">
        <v>304</v>
      </c>
      <c r="ES2" t="s">
        <v>305</v>
      </c>
      <c r="ET2" t="s">
        <v>306</v>
      </c>
      <c r="EU2" t="s">
        <v>307</v>
      </c>
      <c r="EV2" t="s">
        <v>308</v>
      </c>
      <c r="EW2" t="s">
        <v>309</v>
      </c>
      <c r="EX2" t="s">
        <v>89</v>
      </c>
      <c r="EY2" t="s">
        <v>310</v>
      </c>
      <c r="EZ2" t="s">
        <v>91</v>
      </c>
      <c r="FA2" t="s">
        <v>92</v>
      </c>
      <c r="FB2" t="s">
        <v>311</v>
      </c>
      <c r="FC2" t="s">
        <v>312</v>
      </c>
      <c r="FD2" t="s">
        <v>313</v>
      </c>
      <c r="FE2" t="s">
        <v>314</v>
      </c>
      <c r="FF2" t="s">
        <v>315</v>
      </c>
      <c r="FG2" t="s">
        <v>316</v>
      </c>
      <c r="FH2" t="s">
        <v>317</v>
      </c>
      <c r="FI2" t="s">
        <v>318</v>
      </c>
      <c r="FJ2" t="s">
        <v>319</v>
      </c>
      <c r="FK2" t="s">
        <v>320</v>
      </c>
      <c r="FL2" t="s">
        <v>321</v>
      </c>
      <c r="FM2" t="s">
        <v>322</v>
      </c>
      <c r="FN2" t="s">
        <v>323</v>
      </c>
      <c r="FO2" t="s">
        <v>324</v>
      </c>
      <c r="FP2" t="s">
        <v>325</v>
      </c>
      <c r="FQ2" t="s">
        <v>376</v>
      </c>
      <c r="FR2" t="s">
        <v>326</v>
      </c>
      <c r="FS2" t="s">
        <v>327</v>
      </c>
      <c r="FT2" t="s">
        <v>328</v>
      </c>
      <c r="FU2" t="s">
        <v>329</v>
      </c>
      <c r="FV2" t="s">
        <v>330</v>
      </c>
      <c r="FW2" t="s">
        <v>331</v>
      </c>
      <c r="FX2" t="s">
        <v>332</v>
      </c>
      <c r="FY2" t="s">
        <v>333</v>
      </c>
    </row>
    <row r="3" spans="1:181" ht="15">
      <c r="A3">
        <v>1</v>
      </c>
      <c r="B3">
        <f>+'IPM-point'!D9</f>
        <v>0</v>
      </c>
      <c r="C3">
        <f>+'IPM-point'!D10</f>
        <v>0</v>
      </c>
      <c r="D3">
        <f>+'IPM-point'!D11</f>
        <v>0</v>
      </c>
      <c r="E3">
        <f>+'IPM-point'!D12</f>
        <v>0</v>
      </c>
      <c r="F3">
        <f>+'IPM-point'!D13</f>
        <v>0</v>
      </c>
      <c r="G3">
        <f>+'IPM-point'!D14</f>
        <v>0</v>
      </c>
      <c r="H3">
        <f>+'IPM-point'!D16</f>
        <v>0</v>
      </c>
      <c r="I3">
        <f>+'IPM-point'!D17</f>
        <v>0</v>
      </c>
      <c r="J3">
        <f>+'IPM-point'!D18</f>
        <v>0</v>
      </c>
      <c r="K3">
        <f>+'IPM-point'!D19</f>
        <v>8</v>
      </c>
      <c r="L3">
        <f>+'IPM-point'!D20</f>
        <v>0</v>
      </c>
      <c r="M3">
        <f>+'IPM-point'!D21</f>
        <v>0</v>
      </c>
      <c r="N3">
        <f>+'IPM-point'!D22</f>
        <v>0</v>
      </c>
      <c r="O3" s="119">
        <f>+'IPM-point'!D26</f>
        <v>0</v>
      </c>
      <c r="P3" s="119">
        <f>+1a!C11</f>
        <v>10</v>
      </c>
      <c r="Q3" s="119">
        <f>+1a!C12</f>
        <v>0</v>
      </c>
      <c r="R3" s="119">
        <f>+1a!C13</f>
        <v>0</v>
      </c>
      <c r="S3" s="119">
        <f>+1a!C14</f>
        <v>0</v>
      </c>
      <c r="T3" s="119">
        <f>+1a!C15</f>
        <v>0</v>
      </c>
      <c r="U3" s="119">
        <f>+1a!C16</f>
        <v>0</v>
      </c>
      <c r="V3" s="119">
        <f>+1a!C17</f>
        <v>0</v>
      </c>
      <c r="W3" s="119">
        <f>+1a!C18</f>
        <v>0</v>
      </c>
      <c r="X3" s="119">
        <f>+1a!C19</f>
        <v>0</v>
      </c>
      <c r="Y3" s="119">
        <f>+1a!C20</f>
        <v>0</v>
      </c>
      <c r="Z3" s="119">
        <f>+1a!C21</f>
        <v>0</v>
      </c>
      <c r="AA3" s="119">
        <f>+1a!C22</f>
        <v>0</v>
      </c>
      <c r="AB3" s="119">
        <f>+1a!C23</f>
        <v>0</v>
      </c>
      <c r="AC3" s="119">
        <f>+1a!C24</f>
        <v>0</v>
      </c>
      <c r="AD3" s="119">
        <f>+1a!C25</f>
        <v>0</v>
      </c>
      <c r="AE3" s="119">
        <f>+1a!C26</f>
        <v>0</v>
      </c>
      <c r="AF3" s="119">
        <f>+1a!C27</f>
        <v>0</v>
      </c>
      <c r="AG3">
        <f>+1a!D33</f>
        <v>0</v>
      </c>
      <c r="AH3">
        <f>+1a!D37</f>
        <v>0</v>
      </c>
      <c r="AI3">
        <f>+1a!D42</f>
        <v>0</v>
      </c>
      <c r="AJ3">
        <f>+1a!D48</f>
        <v>0</v>
      </c>
      <c r="AK3">
        <f>+1a!D54</f>
        <v>0</v>
      </c>
      <c r="AL3">
        <f>+1a!D60</f>
        <v>0</v>
      </c>
      <c r="AM3">
        <f>+1b!C9</f>
        <v>0</v>
      </c>
      <c r="AN3">
        <f>+1b!E13</f>
        <v>0</v>
      </c>
      <c r="AO3">
        <f>+1b!E18</f>
        <v>0</v>
      </c>
      <c r="AP3">
        <f>+1b!E23</f>
        <v>0</v>
      </c>
      <c r="AQ3" t="b">
        <f>+1c!D10</f>
        <v>0</v>
      </c>
      <c r="AR3" t="b">
        <f>+1c!D11</f>
        <v>0</v>
      </c>
      <c r="AS3" t="b">
        <f>+1c!D12</f>
        <v>0</v>
      </c>
      <c r="AT3" t="b">
        <f>+1c!D13</f>
        <v>0</v>
      </c>
      <c r="AU3" t="b">
        <f>+1c!D18</f>
        <v>0</v>
      </c>
      <c r="AV3" t="b">
        <f>+1c!D19</f>
        <v>0</v>
      </c>
      <c r="AW3" t="b">
        <f>+1c!D20</f>
        <v>0</v>
      </c>
      <c r="AX3" t="b">
        <f>+1c!D21</f>
        <v>0</v>
      </c>
      <c r="AY3" t="b">
        <f>+1c!D22</f>
        <v>0</v>
      </c>
      <c r="AZ3" t="b">
        <f>+1c!D23</f>
        <v>0</v>
      </c>
      <c r="BA3">
        <f>+1d!D12</f>
        <v>0</v>
      </c>
      <c r="BB3">
        <f>+1d!D19</f>
        <v>0</v>
      </c>
      <c r="BC3" t="b">
        <f>+1e!E11</f>
        <v>0</v>
      </c>
      <c r="BD3" t="b">
        <f>+1e!E12</f>
        <v>0</v>
      </c>
      <c r="BE3" t="b">
        <f>+1e!E13</f>
        <v>0</v>
      </c>
      <c r="BF3" t="b">
        <f>+1e!E14</f>
        <v>0</v>
      </c>
      <c r="BG3" t="b">
        <f>+1e!E15</f>
        <v>0</v>
      </c>
      <c r="BH3" t="b">
        <f>+1e!E16</f>
        <v>0</v>
      </c>
      <c r="BI3">
        <f>+1e!C19</f>
        <v>0</v>
      </c>
      <c r="BJ3" t="b">
        <f>+1f!D9</f>
        <v>0</v>
      </c>
      <c r="BK3" t="b">
        <f>+1f!D10</f>
        <v>0</v>
      </c>
      <c r="BL3" t="b">
        <f>+1f!D11</f>
        <v>0</v>
      </c>
      <c r="BM3" t="b">
        <f>+1f!D15</f>
        <v>0</v>
      </c>
      <c r="BN3" t="b">
        <f>+1f!D16</f>
        <v>0</v>
      </c>
      <c r="BO3" t="b">
        <f>+1f!D20</f>
        <v>0</v>
      </c>
      <c r="BP3" t="b">
        <f>+1f!D21</f>
        <v>0</v>
      </c>
      <c r="BQ3" t="b">
        <f>+1f!D22</f>
        <v>0</v>
      </c>
      <c r="BR3" t="b">
        <f>+1f!D23</f>
        <v>0</v>
      </c>
      <c r="BS3" t="b">
        <f>+1f!D24</f>
        <v>0</v>
      </c>
      <c r="BT3" t="b">
        <f>+1f!D25</f>
        <v>0</v>
      </c>
      <c r="BU3" t="b">
        <f>+1f!D26</f>
        <v>0</v>
      </c>
      <c r="BV3" t="b">
        <f>+1f!D30</f>
        <v>0</v>
      </c>
      <c r="BW3" t="b">
        <f>+1f!D31</f>
        <v>0</v>
      </c>
      <c r="BX3" t="b">
        <f>+1f!D32</f>
        <v>0</v>
      </c>
      <c r="BY3" t="b">
        <f>+1f!D33</f>
        <v>0</v>
      </c>
      <c r="BZ3">
        <f>+1f!D36</f>
        <v>0</v>
      </c>
      <c r="CA3">
        <f>+2!D12</f>
        <v>0</v>
      </c>
      <c r="CB3" t="b">
        <f>+2!D20</f>
        <v>0</v>
      </c>
      <c r="CC3" t="b">
        <f>+2!D21</f>
        <v>0</v>
      </c>
      <c r="CD3" t="b">
        <f>+2!D22</f>
        <v>0</v>
      </c>
      <c r="CE3" t="b">
        <f>+2!D23</f>
        <v>0</v>
      </c>
      <c r="CF3" t="b">
        <f>+2!D24</f>
        <v>0</v>
      </c>
      <c r="CG3" t="b">
        <f>+2!D28</f>
        <v>0</v>
      </c>
      <c r="CH3" t="b">
        <f>+2!D29</f>
        <v>0</v>
      </c>
      <c r="CI3" t="b">
        <f>+2!D30</f>
        <v>0</v>
      </c>
      <c r="CJ3" t="b">
        <f>+2!D31</f>
        <v>0</v>
      </c>
      <c r="CK3" t="b">
        <f>+2!D32</f>
        <v>0</v>
      </c>
      <c r="CL3" t="b">
        <f>+3!D12</f>
        <v>0</v>
      </c>
      <c r="CM3" t="b">
        <f>+3!D13</f>
        <v>0</v>
      </c>
      <c r="CN3" t="b">
        <f>+3!D14</f>
        <v>0</v>
      </c>
      <c r="CO3" t="b">
        <f>+3!D15</f>
        <v>0</v>
      </c>
      <c r="CP3" t="b">
        <f>+3!D16</f>
        <v>0</v>
      </c>
      <c r="CQ3" t="b">
        <f>+3!D17</f>
        <v>0</v>
      </c>
      <c r="CR3" t="b">
        <f>+3!D21</f>
        <v>0</v>
      </c>
      <c r="CS3" t="b">
        <f>+3!D22</f>
        <v>0</v>
      </c>
      <c r="CT3" t="b">
        <f>+3!D23</f>
        <v>0</v>
      </c>
      <c r="CU3" t="b">
        <f>+3!D24</f>
        <v>0</v>
      </c>
      <c r="CV3" t="b">
        <f>+3!D25</f>
        <v>0</v>
      </c>
      <c r="CW3" t="b">
        <f>+3!D29</f>
        <v>0</v>
      </c>
      <c r="CX3" t="b">
        <f>+3!D30</f>
        <v>0</v>
      </c>
      <c r="CY3" t="b">
        <f>+3!D31</f>
        <v>0</v>
      </c>
      <c r="CZ3" t="b">
        <f>+3!D32</f>
        <v>0</v>
      </c>
      <c r="DA3" t="b">
        <f>+3!D36</f>
        <v>0</v>
      </c>
      <c r="DB3" t="b">
        <f>+3!D37</f>
        <v>0</v>
      </c>
      <c r="DC3" t="b">
        <f>+3!D38</f>
        <v>0</v>
      </c>
      <c r="DD3" t="b">
        <f>+3!D39</f>
        <v>0</v>
      </c>
      <c r="DE3" t="b">
        <f>+3!D43</f>
        <v>0</v>
      </c>
      <c r="DF3" t="b">
        <f>+3!D44</f>
        <v>0</v>
      </c>
      <c r="DG3" t="b">
        <f>+3!D45</f>
        <v>0</v>
      </c>
      <c r="DH3" t="b">
        <f>+3!D46</f>
        <v>0</v>
      </c>
      <c r="DI3" t="b">
        <f>+3!D47</f>
        <v>0</v>
      </c>
      <c r="DJ3" t="b">
        <f>+3!D51</f>
        <v>0</v>
      </c>
      <c r="DK3" t="b">
        <f>+3!D53</f>
        <v>0</v>
      </c>
      <c r="DL3" t="b">
        <f>+3!D52</f>
        <v>0</v>
      </c>
      <c r="DM3" t="b">
        <f>+3!D57</f>
        <v>0</v>
      </c>
      <c r="DN3" t="b">
        <f>+3!D58</f>
        <v>0</v>
      </c>
      <c r="DO3" t="b">
        <f>+3!D59</f>
        <v>0</v>
      </c>
      <c r="DP3" t="b">
        <f>+3!D60</f>
        <v>0</v>
      </c>
      <c r="DQ3">
        <f>+4!D8</f>
        <v>0</v>
      </c>
      <c r="DR3">
        <f>+4!D14</f>
        <v>0</v>
      </c>
      <c r="DS3">
        <f>+4!D19</f>
        <v>0</v>
      </c>
      <c r="DT3">
        <f>+4!D24</f>
        <v>0</v>
      </c>
      <c r="DU3">
        <f>+4!D30</f>
        <v>0</v>
      </c>
      <c r="DV3">
        <f>+5!D13</f>
        <v>3</v>
      </c>
      <c r="DW3">
        <f>+6!D12</f>
        <v>0</v>
      </c>
      <c r="DX3">
        <f>+6!D19</f>
        <v>0</v>
      </c>
      <c r="DY3">
        <f>+6!D26</f>
        <v>0</v>
      </c>
      <c r="DZ3">
        <f>+6!D33</f>
        <v>0</v>
      </c>
      <c r="EA3" t="b">
        <f>+7!D12</f>
        <v>0</v>
      </c>
      <c r="EB3" t="b">
        <f>+7!D13</f>
        <v>0</v>
      </c>
      <c r="EC3" t="b">
        <f>+7!D14</f>
        <v>0</v>
      </c>
      <c r="ED3" t="b">
        <f>+7!D15</f>
        <v>0</v>
      </c>
      <c r="EE3" t="b">
        <f>+8!D10</f>
        <v>0</v>
      </c>
      <c r="EF3" t="b">
        <f>+8!D11</f>
        <v>0</v>
      </c>
      <c r="EG3" t="b">
        <f>+8!D12</f>
        <v>0</v>
      </c>
      <c r="EH3" t="b">
        <f>+8!D13</f>
        <v>0</v>
      </c>
      <c r="EI3">
        <f>+8!D17</f>
        <v>0</v>
      </c>
      <c r="EJ3">
        <f>+Bevågenhed!H14</f>
        <v>0</v>
      </c>
      <c r="EK3">
        <f>+Bevågenhed!H15</f>
        <v>0</v>
      </c>
      <c r="EL3">
        <f>+Bevågenhed!H16</f>
        <v>0</v>
      </c>
      <c r="EM3">
        <f>+Bevågenhed!H17</f>
        <v>0</v>
      </c>
      <c r="EN3">
        <f>+Bevågenhed!H18</f>
        <v>0</v>
      </c>
      <c r="EO3">
        <f>+Bevågenhed!H19</f>
        <v>0</v>
      </c>
      <c r="EP3">
        <f>+Bevågenhed!H22</f>
        <v>0</v>
      </c>
      <c r="EQ3">
        <f>+Bevågenhed!H23</f>
        <v>0</v>
      </c>
      <c r="ER3">
        <f>+Bevågenhed!H24</f>
        <v>0</v>
      </c>
      <c r="ES3">
        <f>+Bevågenhed!H25</f>
        <v>0</v>
      </c>
      <c r="ET3">
        <f>+Bevågenhed!H26</f>
        <v>0</v>
      </c>
      <c r="EU3">
        <f>+Bevågenhed!H27</f>
        <v>0</v>
      </c>
      <c r="EV3">
        <f>+Bevågenhed!H31</f>
        <v>0</v>
      </c>
      <c r="EW3">
        <f>+Bevågenhed!H32</f>
        <v>0</v>
      </c>
      <c r="EX3">
        <f>+Bevågenhed!H33</f>
        <v>0</v>
      </c>
      <c r="EY3">
        <f>+Bevågenhed!H34</f>
        <v>0</v>
      </c>
      <c r="EZ3">
        <f>+Bevågenhed!H35</f>
        <v>0</v>
      </c>
      <c r="FA3">
        <f>+Bevågenhed!H36</f>
        <v>0</v>
      </c>
      <c r="FB3">
        <f>+Bevågenhed!H40</f>
        <v>0</v>
      </c>
      <c r="FC3">
        <f>+Bevågenhed!H46</f>
        <v>0</v>
      </c>
      <c r="FD3">
        <f>+Bevågenhed!H47</f>
        <v>0</v>
      </c>
      <c r="FE3">
        <f>+Bevågenhed!H48</f>
        <v>0</v>
      </c>
      <c r="FF3">
        <f>+Bevågenhed!H50</f>
        <v>0</v>
      </c>
      <c r="FG3">
        <f>+Bevågenhed!H52</f>
        <v>0</v>
      </c>
      <c r="FH3">
        <f>+Bevågenhed!H53</f>
        <v>0</v>
      </c>
      <c r="FI3">
        <f>+Bevågenhed!H54</f>
        <v>0</v>
      </c>
      <c r="FJ3">
        <f>+Bevågenhed!H55</f>
        <v>0</v>
      </c>
      <c r="FK3">
        <f>+Bevågenhed!H58</f>
        <v>0</v>
      </c>
      <c r="FL3">
        <f>+Bevågenhed!H59</f>
        <v>0</v>
      </c>
      <c r="FM3">
        <f>+Bevågenhed!H60</f>
        <v>0</v>
      </c>
      <c r="FN3">
        <f>+Bevågenhed!H61</f>
        <v>0</v>
      </c>
      <c r="FO3">
        <f>+Bevågenhed!H64</f>
        <v>0</v>
      </c>
      <c r="FP3">
        <f>+Bevågenhed!H65</f>
        <v>0</v>
      </c>
      <c r="FQ3">
        <f>+Bevågenhed!H66</f>
        <v>0</v>
      </c>
      <c r="FR3">
        <f>+Bevågenhed!H67</f>
        <v>0</v>
      </c>
      <c r="FS3">
        <f>+Bevågenhed!H68</f>
        <v>0</v>
      </c>
      <c r="FT3">
        <f>+Bevågenhed!H72</f>
        <v>0</v>
      </c>
      <c r="FU3">
        <f>+Bevågenhed!H73</f>
        <v>0</v>
      </c>
      <c r="FV3">
        <f>+Bevågenhed!H74</f>
        <v>0</v>
      </c>
      <c r="FW3">
        <f>+Bevågenhed!H75</f>
        <v>0</v>
      </c>
      <c r="FX3">
        <f>+Bevågenhed!H76</f>
        <v>0</v>
      </c>
      <c r="FY3">
        <f>+Bevågenhed!H77</f>
        <v>0</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Ark2"/>
  <dimension ref="A1:IV95"/>
  <sheetViews>
    <sheetView zoomScalePageLayoutView="0" workbookViewId="0" topLeftCell="B5">
      <selection activeCell="B5" sqref="B5"/>
    </sheetView>
  </sheetViews>
  <sheetFormatPr defaultColWidth="9.140625" defaultRowHeight="15"/>
  <cols>
    <col min="1" max="1" width="3.28125" style="48" customWidth="1"/>
    <col min="2" max="2" width="53.00390625" style="45" customWidth="1"/>
    <col min="3" max="3" width="8.7109375" style="48" customWidth="1"/>
    <col min="4" max="4" width="6.7109375" style="183" hidden="1" customWidth="1"/>
    <col min="5" max="5" width="8.7109375" style="192" hidden="1" customWidth="1"/>
    <col min="6" max="6" width="14.28125" style="229" hidden="1" customWidth="1"/>
    <col min="7" max="8" width="11.57421875" style="193" hidden="1" customWidth="1"/>
    <col min="9" max="9" width="15.140625" style="192" hidden="1" customWidth="1"/>
    <col min="10" max="10" width="11.57421875" style="192" hidden="1" customWidth="1"/>
    <col min="11" max="12" width="12.421875" style="192" hidden="1" customWidth="1"/>
    <col min="13" max="13" width="9.28125" style="192" hidden="1" customWidth="1"/>
    <col min="14" max="14" width="9.140625" style="192" hidden="1" customWidth="1"/>
    <col min="15" max="16384" width="9.140625" style="48" customWidth="1"/>
  </cols>
  <sheetData>
    <row r="1" spans="2:14" s="69" customFormat="1" ht="12.75" hidden="1">
      <c r="B1" s="76"/>
      <c r="D1" s="183"/>
      <c r="E1" s="183"/>
      <c r="F1" s="228"/>
      <c r="G1" s="186"/>
      <c r="H1" s="186"/>
      <c r="I1" s="183"/>
      <c r="J1" s="183"/>
      <c r="K1" s="183"/>
      <c r="L1" s="183"/>
      <c r="M1" s="183"/>
      <c r="N1" s="183"/>
    </row>
    <row r="2" spans="2:14" s="69" customFormat="1" ht="12.75" hidden="1">
      <c r="B2" s="79" t="s">
        <v>47</v>
      </c>
      <c r="C2" s="78"/>
      <c r="D2" s="183"/>
      <c r="E2" s="183"/>
      <c r="F2" s="228"/>
      <c r="G2" s="186"/>
      <c r="H2" s="186"/>
      <c r="I2" s="183"/>
      <c r="J2" s="183"/>
      <c r="K2" s="183"/>
      <c r="L2" s="183"/>
      <c r="M2" s="183"/>
      <c r="N2" s="183"/>
    </row>
    <row r="3" spans="2:14" s="69" customFormat="1" ht="25.5" hidden="1">
      <c r="B3" s="79" t="s">
        <v>48</v>
      </c>
      <c r="C3" s="78"/>
      <c r="D3" s="183"/>
      <c r="E3" s="183"/>
      <c r="F3" s="228"/>
      <c r="G3" s="186"/>
      <c r="H3" s="186"/>
      <c r="I3" s="183"/>
      <c r="J3" s="183"/>
      <c r="K3" s="183"/>
      <c r="L3" s="183"/>
      <c r="M3" s="183"/>
      <c r="N3" s="183"/>
    </row>
    <row r="4" spans="2:14" s="69" customFormat="1" ht="12.75" hidden="1">
      <c r="B4" s="79" t="s">
        <v>1</v>
      </c>
      <c r="C4" s="78">
        <f>+'IPM-point'!E9</f>
        <v>20</v>
      </c>
      <c r="D4" s="183"/>
      <c r="E4" s="183"/>
      <c r="F4" s="228"/>
      <c r="G4" s="186"/>
      <c r="H4" s="186"/>
      <c r="I4" s="183"/>
      <c r="J4" s="183"/>
      <c r="K4" s="183"/>
      <c r="L4" s="183"/>
      <c r="M4" s="183"/>
      <c r="N4" s="183"/>
    </row>
    <row r="5" ht="12.75"/>
    <row r="6" ht="20.25" customHeight="1">
      <c r="B6" s="48"/>
    </row>
    <row r="7" spans="2:3" ht="20.25" customHeight="1">
      <c r="B7" s="284" t="s">
        <v>176</v>
      </c>
      <c r="C7" s="284"/>
    </row>
    <row r="8" ht="12.75" customHeight="1"/>
    <row r="9" ht="20.25" customHeight="1">
      <c r="B9" s="59" t="s">
        <v>358</v>
      </c>
    </row>
    <row r="10" spans="1:256" s="6" customFormat="1" ht="26.25" customHeight="1">
      <c r="A10" s="68"/>
      <c r="B10" s="104" t="s">
        <v>2</v>
      </c>
      <c r="C10" s="105" t="s">
        <v>110</v>
      </c>
      <c r="D10" s="230"/>
      <c r="E10" s="231" t="s">
        <v>16</v>
      </c>
      <c r="F10" s="232" t="s">
        <v>66</v>
      </c>
      <c r="G10" s="198" t="s">
        <v>69</v>
      </c>
      <c r="H10" s="198" t="s">
        <v>68</v>
      </c>
      <c r="I10" s="231" t="s">
        <v>72</v>
      </c>
      <c r="J10" s="231" t="s">
        <v>24</v>
      </c>
      <c r="K10" s="231" t="s">
        <v>70</v>
      </c>
      <c r="L10" s="231" t="s">
        <v>71</v>
      </c>
      <c r="M10" s="231" t="s">
        <v>62</v>
      </c>
      <c r="N10" s="231" t="s">
        <v>63</v>
      </c>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2:14" ht="14.25" customHeight="1">
      <c r="B11" s="101" t="s">
        <v>3</v>
      </c>
      <c r="C11" s="178">
        <v>10</v>
      </c>
      <c r="D11" s="181"/>
      <c r="E11" s="268">
        <f>IF(C11&gt;0,1,0)</f>
        <v>1</v>
      </c>
      <c r="F11" s="269">
        <f>IF(C11&gt;0,1,0)</f>
        <v>1</v>
      </c>
      <c r="G11" s="270"/>
      <c r="H11" s="270"/>
      <c r="I11" s="271"/>
      <c r="J11" s="268">
        <f>+C11</f>
        <v>10</v>
      </c>
      <c r="K11" s="271"/>
      <c r="L11" s="271"/>
      <c r="M11" s="268">
        <f>+C11</f>
        <v>10</v>
      </c>
      <c r="N11" s="268">
        <f>+C11</f>
        <v>10</v>
      </c>
    </row>
    <row r="12" spans="2:14" ht="14.25" customHeight="1">
      <c r="B12" s="101" t="s">
        <v>4</v>
      </c>
      <c r="C12" s="178"/>
      <c r="D12" s="181"/>
      <c r="E12" s="268">
        <f aca="true" t="shared" si="0" ref="E12:E27">IF(C12&gt;0,1,0)</f>
        <v>0</v>
      </c>
      <c r="F12" s="269">
        <f>IF(C12&gt;0,1,0)</f>
        <v>0</v>
      </c>
      <c r="G12" s="270"/>
      <c r="H12" s="270"/>
      <c r="I12" s="271"/>
      <c r="J12" s="268">
        <f>+C12</f>
        <v>0</v>
      </c>
      <c r="K12" s="271"/>
      <c r="L12" s="271"/>
      <c r="M12" s="268">
        <f>+C12</f>
        <v>0</v>
      </c>
      <c r="N12" s="268">
        <f aca="true" t="shared" si="1" ref="N12:N27">+C12</f>
        <v>0</v>
      </c>
    </row>
    <row r="13" spans="2:14" ht="14.25" customHeight="1">
      <c r="B13" s="101" t="s">
        <v>5</v>
      </c>
      <c r="C13" s="178"/>
      <c r="D13" s="181"/>
      <c r="E13" s="268">
        <f t="shared" si="0"/>
        <v>0</v>
      </c>
      <c r="F13" s="269">
        <f>IF(C13&gt;0,1,0)</f>
        <v>0</v>
      </c>
      <c r="G13" s="270"/>
      <c r="H13" s="270"/>
      <c r="I13" s="271"/>
      <c r="J13" s="268">
        <f>+C13</f>
        <v>0</v>
      </c>
      <c r="K13" s="271"/>
      <c r="L13" s="271"/>
      <c r="M13" s="268">
        <f>+C13</f>
        <v>0</v>
      </c>
      <c r="N13" s="268">
        <f t="shared" si="1"/>
        <v>0</v>
      </c>
    </row>
    <row r="14" spans="2:14" ht="14.25" customHeight="1">
      <c r="B14" s="101" t="s">
        <v>6</v>
      </c>
      <c r="C14" s="178"/>
      <c r="D14" s="181"/>
      <c r="E14" s="268">
        <f t="shared" si="0"/>
        <v>0</v>
      </c>
      <c r="F14" s="269">
        <f>IF(C14&gt;0,1,0)</f>
        <v>0</v>
      </c>
      <c r="G14" s="270"/>
      <c r="H14" s="270"/>
      <c r="I14" s="271"/>
      <c r="J14" s="268">
        <f>+C14</f>
        <v>0</v>
      </c>
      <c r="K14" s="271"/>
      <c r="L14" s="271"/>
      <c r="M14" s="268">
        <f>+C14</f>
        <v>0</v>
      </c>
      <c r="N14" s="268">
        <f t="shared" si="1"/>
        <v>0</v>
      </c>
    </row>
    <row r="15" spans="2:14" ht="14.25" customHeight="1">
      <c r="B15" s="101" t="s">
        <v>7</v>
      </c>
      <c r="C15" s="178"/>
      <c r="D15" s="181"/>
      <c r="E15" s="268">
        <f t="shared" si="0"/>
        <v>0</v>
      </c>
      <c r="F15" s="269">
        <f>IF(C15&gt;0,1,0)</f>
        <v>0</v>
      </c>
      <c r="G15" s="270"/>
      <c r="H15" s="270"/>
      <c r="I15" s="268">
        <f>IF(C15&gt;0,1,0)</f>
        <v>0</v>
      </c>
      <c r="J15" s="268">
        <f>+C15</f>
        <v>0</v>
      </c>
      <c r="K15" s="271"/>
      <c r="L15" s="271"/>
      <c r="M15" s="270">
        <v>0</v>
      </c>
      <c r="N15" s="268">
        <f t="shared" si="1"/>
        <v>0</v>
      </c>
    </row>
    <row r="16" spans="2:14" ht="14.25" customHeight="1">
      <c r="B16" s="101" t="s">
        <v>11</v>
      </c>
      <c r="C16" s="178"/>
      <c r="D16" s="181"/>
      <c r="E16" s="268">
        <f t="shared" si="0"/>
        <v>0</v>
      </c>
      <c r="F16" s="270">
        <v>0</v>
      </c>
      <c r="G16" s="272">
        <f>IF(C16&gt;0,1,0)</f>
        <v>0</v>
      </c>
      <c r="H16" s="270"/>
      <c r="I16" s="271"/>
      <c r="J16" s="270">
        <v>0</v>
      </c>
      <c r="K16" s="268">
        <f>+C16</f>
        <v>0</v>
      </c>
      <c r="L16" s="271"/>
      <c r="M16" s="268">
        <f>+C16</f>
        <v>0</v>
      </c>
      <c r="N16" s="268">
        <f t="shared" si="1"/>
        <v>0</v>
      </c>
    </row>
    <row r="17" spans="2:14" ht="14.25" customHeight="1">
      <c r="B17" s="101" t="s">
        <v>12</v>
      </c>
      <c r="C17" s="178"/>
      <c r="D17" s="181"/>
      <c r="E17" s="268">
        <f t="shared" si="0"/>
        <v>0</v>
      </c>
      <c r="F17" s="270">
        <v>0</v>
      </c>
      <c r="G17" s="272">
        <f aca="true" t="shared" si="2" ref="G17:G26">IF(C17&gt;0,1,0)</f>
        <v>0</v>
      </c>
      <c r="H17" s="270"/>
      <c r="I17" s="271"/>
      <c r="J17" s="270">
        <v>0</v>
      </c>
      <c r="K17" s="268">
        <f aca="true" t="shared" si="3" ref="K17:K24">+C17</f>
        <v>0</v>
      </c>
      <c r="L17" s="271"/>
      <c r="M17" s="268">
        <f>+C17</f>
        <v>0</v>
      </c>
      <c r="N17" s="268">
        <f t="shared" si="1"/>
        <v>0</v>
      </c>
    </row>
    <row r="18" spans="2:14" ht="14.25" customHeight="1">
      <c r="B18" s="101" t="s">
        <v>13</v>
      </c>
      <c r="C18" s="178"/>
      <c r="D18" s="181"/>
      <c r="E18" s="268">
        <f t="shared" si="0"/>
        <v>0</v>
      </c>
      <c r="F18" s="270">
        <v>0</v>
      </c>
      <c r="G18" s="272">
        <f t="shared" si="2"/>
        <v>0</v>
      </c>
      <c r="H18" s="270"/>
      <c r="I18" s="271"/>
      <c r="J18" s="270">
        <v>0</v>
      </c>
      <c r="K18" s="268">
        <f t="shared" si="3"/>
        <v>0</v>
      </c>
      <c r="L18" s="271"/>
      <c r="M18" s="268">
        <f>+C18</f>
        <v>0</v>
      </c>
      <c r="N18" s="268">
        <f t="shared" si="1"/>
        <v>0</v>
      </c>
    </row>
    <row r="19" spans="2:14" ht="14.25" customHeight="1">
      <c r="B19" s="101" t="s">
        <v>14</v>
      </c>
      <c r="C19" s="178"/>
      <c r="D19" s="181"/>
      <c r="E19" s="268">
        <f t="shared" si="0"/>
        <v>0</v>
      </c>
      <c r="F19" s="270">
        <v>0</v>
      </c>
      <c r="G19" s="272">
        <f t="shared" si="2"/>
        <v>0</v>
      </c>
      <c r="H19" s="270"/>
      <c r="I19" s="268">
        <f>IF(C19&gt;0,1,0)</f>
        <v>0</v>
      </c>
      <c r="J19" s="270">
        <v>0</v>
      </c>
      <c r="K19" s="268">
        <f t="shared" si="3"/>
        <v>0</v>
      </c>
      <c r="L19" s="271"/>
      <c r="M19" s="270">
        <v>0</v>
      </c>
      <c r="N19" s="268">
        <f t="shared" si="1"/>
        <v>0</v>
      </c>
    </row>
    <row r="20" spans="2:14" ht="14.25" customHeight="1">
      <c r="B20" s="101" t="s">
        <v>8</v>
      </c>
      <c r="C20" s="178"/>
      <c r="D20" s="181"/>
      <c r="E20" s="268">
        <f t="shared" si="0"/>
        <v>0</v>
      </c>
      <c r="F20" s="270">
        <v>0</v>
      </c>
      <c r="G20" s="272">
        <f t="shared" si="2"/>
        <v>0</v>
      </c>
      <c r="H20" s="270"/>
      <c r="I20" s="268">
        <f>IF(C20&gt;0,1,0)</f>
        <v>0</v>
      </c>
      <c r="J20" s="270">
        <v>0</v>
      </c>
      <c r="K20" s="268">
        <f t="shared" si="3"/>
        <v>0</v>
      </c>
      <c r="L20" s="271"/>
      <c r="M20" s="270">
        <v>0</v>
      </c>
      <c r="N20" s="268">
        <f t="shared" si="1"/>
        <v>0</v>
      </c>
    </row>
    <row r="21" spans="2:14" ht="14.25" customHeight="1">
      <c r="B21" s="101" t="s">
        <v>15</v>
      </c>
      <c r="C21" s="178"/>
      <c r="D21" s="181"/>
      <c r="E21" s="268">
        <f t="shared" si="0"/>
        <v>0</v>
      </c>
      <c r="F21" s="270">
        <v>0</v>
      </c>
      <c r="G21" s="272">
        <f t="shared" si="2"/>
        <v>0</v>
      </c>
      <c r="H21" s="270"/>
      <c r="I21" s="268">
        <f>IF(C21&gt;0,1,0)</f>
        <v>0</v>
      </c>
      <c r="J21" s="270">
        <v>0</v>
      </c>
      <c r="K21" s="268">
        <f t="shared" si="3"/>
        <v>0</v>
      </c>
      <c r="L21" s="271"/>
      <c r="M21" s="270">
        <v>0</v>
      </c>
      <c r="N21" s="268">
        <f t="shared" si="1"/>
        <v>0</v>
      </c>
    </row>
    <row r="22" spans="2:14" ht="14.25" customHeight="1">
      <c r="B22" s="101" t="s">
        <v>65</v>
      </c>
      <c r="C22" s="178"/>
      <c r="D22" s="181"/>
      <c r="E22" s="268">
        <f t="shared" si="0"/>
        <v>0</v>
      </c>
      <c r="F22" s="270">
        <v>0</v>
      </c>
      <c r="G22" s="272">
        <f t="shared" si="2"/>
        <v>0</v>
      </c>
      <c r="H22" s="270"/>
      <c r="I22" s="271"/>
      <c r="J22" s="270">
        <v>0</v>
      </c>
      <c r="K22" s="270">
        <v>0</v>
      </c>
      <c r="L22" s="271"/>
      <c r="M22" s="270">
        <v>0</v>
      </c>
      <c r="N22" s="268">
        <f t="shared" si="1"/>
        <v>0</v>
      </c>
    </row>
    <row r="23" spans="2:14" ht="14.25" customHeight="1">
      <c r="B23" s="101" t="s">
        <v>174</v>
      </c>
      <c r="C23" s="178"/>
      <c r="D23" s="181"/>
      <c r="E23" s="268">
        <f t="shared" si="0"/>
        <v>0</v>
      </c>
      <c r="F23" s="270">
        <v>0</v>
      </c>
      <c r="G23" s="270">
        <v>0</v>
      </c>
      <c r="H23" s="272">
        <f>IF(C23&gt;0,1,0)</f>
        <v>0</v>
      </c>
      <c r="I23" s="268">
        <f>IF(C23&gt;0,1,0)</f>
        <v>0</v>
      </c>
      <c r="J23" s="270">
        <v>0</v>
      </c>
      <c r="K23" s="270">
        <v>0</v>
      </c>
      <c r="L23" s="268">
        <f>+C23</f>
        <v>0</v>
      </c>
      <c r="M23" s="270">
        <v>0</v>
      </c>
      <c r="N23" s="268">
        <f t="shared" si="1"/>
        <v>0</v>
      </c>
    </row>
    <row r="24" spans="2:14" ht="14.25" customHeight="1">
      <c r="B24" s="101" t="s">
        <v>9</v>
      </c>
      <c r="C24" s="178"/>
      <c r="D24" s="181"/>
      <c r="E24" s="268">
        <f t="shared" si="0"/>
        <v>0</v>
      </c>
      <c r="F24" s="270">
        <v>0</v>
      </c>
      <c r="G24" s="272">
        <f t="shared" si="2"/>
        <v>0</v>
      </c>
      <c r="H24" s="270"/>
      <c r="I24" s="268">
        <f>IF(C24&gt;0,1,0)</f>
        <v>0</v>
      </c>
      <c r="J24" s="270">
        <v>0</v>
      </c>
      <c r="K24" s="268">
        <f t="shared" si="3"/>
        <v>0</v>
      </c>
      <c r="L24" s="271"/>
      <c r="M24" s="270">
        <v>0</v>
      </c>
      <c r="N24" s="268">
        <f t="shared" si="1"/>
        <v>0</v>
      </c>
    </row>
    <row r="25" spans="2:14" ht="14.25" customHeight="1">
      <c r="B25" s="101" t="s">
        <v>10</v>
      </c>
      <c r="C25" s="178"/>
      <c r="D25" s="181"/>
      <c r="E25" s="268">
        <f t="shared" si="0"/>
        <v>0</v>
      </c>
      <c r="F25" s="270">
        <v>0</v>
      </c>
      <c r="G25" s="270">
        <v>0</v>
      </c>
      <c r="H25" s="272">
        <f>IF(C25&gt;0,1,0)</f>
        <v>0</v>
      </c>
      <c r="I25" s="268">
        <f>IF(C25&gt;0,1,0)</f>
        <v>0</v>
      </c>
      <c r="J25" s="270">
        <v>0</v>
      </c>
      <c r="K25" s="270">
        <v>0</v>
      </c>
      <c r="L25" s="268">
        <f>+C25</f>
        <v>0</v>
      </c>
      <c r="M25" s="270">
        <v>0</v>
      </c>
      <c r="N25" s="268">
        <f t="shared" si="1"/>
        <v>0</v>
      </c>
    </row>
    <row r="26" spans="2:14" ht="14.25" customHeight="1">
      <c r="B26" s="101" t="s">
        <v>67</v>
      </c>
      <c r="C26" s="178"/>
      <c r="D26" s="181"/>
      <c r="E26" s="268">
        <f t="shared" si="0"/>
        <v>0</v>
      </c>
      <c r="F26" s="270">
        <v>0</v>
      </c>
      <c r="G26" s="272">
        <f t="shared" si="2"/>
        <v>0</v>
      </c>
      <c r="H26" s="270"/>
      <c r="I26" s="268">
        <f>IF(C26&gt;0,1,0)</f>
        <v>0</v>
      </c>
      <c r="J26" s="270">
        <v>0</v>
      </c>
      <c r="K26" s="268">
        <f>+C26</f>
        <v>0</v>
      </c>
      <c r="L26" s="271"/>
      <c r="M26" s="270">
        <v>0</v>
      </c>
      <c r="N26" s="268">
        <f t="shared" si="1"/>
        <v>0</v>
      </c>
    </row>
    <row r="27" spans="2:14" ht="14.25" customHeight="1">
      <c r="B27" s="102" t="s">
        <v>49</v>
      </c>
      <c r="C27" s="178"/>
      <c r="D27" s="235"/>
      <c r="E27" s="273">
        <f t="shared" si="0"/>
        <v>0</v>
      </c>
      <c r="F27" s="270">
        <v>0</v>
      </c>
      <c r="G27" s="270">
        <v>0</v>
      </c>
      <c r="H27" s="274">
        <f>IF(C27&gt;0,1,0)</f>
        <v>0</v>
      </c>
      <c r="I27" s="275">
        <f>IF(C27&gt;0,1,0)</f>
        <v>0</v>
      </c>
      <c r="J27" s="270">
        <v>0</v>
      </c>
      <c r="K27" s="270">
        <v>0</v>
      </c>
      <c r="L27" s="275">
        <f>+C27</f>
        <v>0</v>
      </c>
      <c r="M27" s="270">
        <v>0</v>
      </c>
      <c r="N27" s="275">
        <f t="shared" si="1"/>
        <v>0</v>
      </c>
    </row>
    <row r="28" spans="2:14" ht="12.75">
      <c r="B28" s="88" t="s">
        <v>111</v>
      </c>
      <c r="C28" s="48">
        <f>SUM(C11:C27)</f>
        <v>10</v>
      </c>
      <c r="E28" s="214">
        <f aca="true" t="shared" si="4" ref="E28:J28">SUM(E11:E27)</f>
        <v>1</v>
      </c>
      <c r="F28" s="233">
        <f t="shared" si="4"/>
        <v>1</v>
      </c>
      <c r="G28" s="234">
        <f t="shared" si="4"/>
        <v>0</v>
      </c>
      <c r="H28" s="234">
        <f t="shared" si="4"/>
        <v>0</v>
      </c>
      <c r="I28" s="214">
        <f t="shared" si="4"/>
        <v>0</v>
      </c>
      <c r="J28" s="214">
        <f t="shared" si="4"/>
        <v>10</v>
      </c>
      <c r="K28" s="214">
        <f>SUM(K16:K27)</f>
        <v>0</v>
      </c>
      <c r="L28" s="214">
        <f>SUM(L23:L27)</f>
        <v>0</v>
      </c>
      <c r="M28" s="214">
        <f>SUM(M11:M27)</f>
        <v>10</v>
      </c>
      <c r="N28" s="214">
        <f>SUM(N11:N27)</f>
        <v>10</v>
      </c>
    </row>
    <row r="29" spans="2:14" ht="12.75">
      <c r="B29" s="61"/>
      <c r="E29" s="214"/>
      <c r="F29" s="234">
        <f>IF(F28&gt;0,1,0)</f>
        <v>1</v>
      </c>
      <c r="G29" s="234">
        <f>IF(G28&gt;0,1,0)</f>
        <v>0</v>
      </c>
      <c r="H29" s="234">
        <f>IF(H28&gt;0,1,0)</f>
        <v>0</v>
      </c>
      <c r="I29" s="234">
        <f>IF(I28&gt;0,1,0)</f>
        <v>0</v>
      </c>
      <c r="J29" s="214"/>
      <c r="K29" s="214"/>
      <c r="L29" s="214"/>
      <c r="M29" s="214"/>
      <c r="N29" s="214"/>
    </row>
    <row r="30" spans="2:14" ht="12.75">
      <c r="B30" s="88" t="s">
        <v>361</v>
      </c>
      <c r="E30" s="214"/>
      <c r="F30" s="234"/>
      <c r="G30" s="234"/>
      <c r="H30" s="234"/>
      <c r="I30" s="234"/>
      <c r="J30" s="214"/>
      <c r="K30" s="214"/>
      <c r="L30" s="214"/>
      <c r="M30" s="214"/>
      <c r="N30" s="214"/>
    </row>
    <row r="31" spans="2:14" ht="15" customHeight="1">
      <c r="B31" s="66"/>
      <c r="C31" s="285"/>
      <c r="E31" s="195"/>
      <c r="F31" s="238"/>
      <c r="G31" s="239"/>
      <c r="H31" s="239"/>
      <c r="I31" s="195"/>
      <c r="J31" s="195"/>
      <c r="K31" s="195"/>
      <c r="L31" s="195"/>
      <c r="M31" s="195"/>
      <c r="N31" s="195"/>
    </row>
    <row r="32" spans="2:6" ht="12.75">
      <c r="B32" s="62"/>
      <c r="C32" s="285"/>
      <c r="D32" s="179"/>
      <c r="E32" s="207"/>
      <c r="F32" s="240"/>
    </row>
    <row r="33" spans="2:6" ht="14.25" customHeight="1">
      <c r="B33" s="66"/>
      <c r="C33" s="63"/>
      <c r="D33" s="180">
        <v>0</v>
      </c>
      <c r="E33" s="207"/>
      <c r="F33" s="240"/>
    </row>
    <row r="34" spans="2:5" ht="14.25" customHeight="1">
      <c r="B34" s="64"/>
      <c r="C34" s="63"/>
      <c r="D34" s="179"/>
      <c r="E34" s="207"/>
    </row>
    <row r="35" spans="2:5" ht="12.75">
      <c r="B35" s="64"/>
      <c r="C35" s="63"/>
      <c r="D35" s="179"/>
      <c r="E35" s="207"/>
    </row>
    <row r="36" spans="2:5" ht="12.75">
      <c r="B36" s="65"/>
      <c r="C36" s="63"/>
      <c r="D36" s="179"/>
      <c r="E36" s="207"/>
    </row>
    <row r="37" spans="2:5" ht="14.25" customHeight="1">
      <c r="B37" s="64"/>
      <c r="C37" s="63"/>
      <c r="D37" s="180">
        <v>0</v>
      </c>
      <c r="E37" s="207"/>
    </row>
    <row r="38" spans="2:5" ht="14.25" customHeight="1">
      <c r="B38" s="64"/>
      <c r="C38" s="63"/>
      <c r="D38" s="179"/>
      <c r="E38" s="207"/>
    </row>
    <row r="39" spans="2:5" ht="14.25" customHeight="1">
      <c r="B39" s="64"/>
      <c r="C39" s="63"/>
      <c r="D39" s="179"/>
      <c r="E39" s="207"/>
    </row>
    <row r="40" spans="1:256" s="7" customFormat="1" ht="25.5">
      <c r="A40" s="60"/>
      <c r="B40" s="64"/>
      <c r="C40" s="63"/>
      <c r="D40" s="179"/>
      <c r="E40" s="198" t="s">
        <v>78</v>
      </c>
      <c r="F40" s="199" t="s">
        <v>23</v>
      </c>
      <c r="G40" s="200" t="s">
        <v>79</v>
      </c>
      <c r="H40" s="241"/>
      <c r="I40" s="242"/>
      <c r="J40" s="242"/>
      <c r="K40" s="242"/>
      <c r="L40" s="242"/>
      <c r="M40" s="242"/>
      <c r="N40" s="242"/>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row>
    <row r="41" spans="1:256" s="7" customFormat="1" ht="12.75">
      <c r="A41" s="60"/>
      <c r="B41" s="65"/>
      <c r="C41" s="63"/>
      <c r="D41" s="179"/>
      <c r="E41" s="206"/>
      <c r="F41" s="243"/>
      <c r="G41" s="218">
        <f>IF(F15=1,G44,0)</f>
        <v>0</v>
      </c>
      <c r="H41" s="244"/>
      <c r="I41" s="242"/>
      <c r="J41" s="242"/>
      <c r="K41" s="242"/>
      <c r="L41" s="242"/>
      <c r="M41" s="242"/>
      <c r="N41" s="242"/>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row>
    <row r="42" spans="1:256" s="7" customFormat="1" ht="13.5" customHeight="1">
      <c r="A42" s="60"/>
      <c r="B42" s="64"/>
      <c r="C42" s="63"/>
      <c r="D42" s="180">
        <v>0</v>
      </c>
      <c r="E42" s="206">
        <f>IF(D42=1,G42,0)</f>
        <v>0</v>
      </c>
      <c r="F42" s="243">
        <f>+($C$4/100)*(E42/$G$93)</f>
        <v>0</v>
      </c>
      <c r="G42" s="211">
        <v>0</v>
      </c>
      <c r="H42" s="244"/>
      <c r="I42" s="245"/>
      <c r="J42" s="242"/>
      <c r="K42" s="242"/>
      <c r="L42" s="242"/>
      <c r="M42" s="242"/>
      <c r="N42" s="242"/>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row>
    <row r="43" spans="1:256" s="7" customFormat="1" ht="13.5" customHeight="1">
      <c r="A43" s="60"/>
      <c r="B43" s="64"/>
      <c r="C43" s="63"/>
      <c r="D43" s="179"/>
      <c r="E43" s="206">
        <f>IF(D42=2,G43,0)</f>
        <v>0</v>
      </c>
      <c r="F43" s="243">
        <f>+($C$4/100)*(E43/$G$93)</f>
        <v>0</v>
      </c>
      <c r="G43" s="211">
        <v>4</v>
      </c>
      <c r="H43" s="244"/>
      <c r="I43" s="242"/>
      <c r="J43" s="242"/>
      <c r="K43" s="242"/>
      <c r="L43" s="242"/>
      <c r="M43" s="242"/>
      <c r="N43" s="242"/>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row>
    <row r="44" spans="1:256" s="7" customFormat="1" ht="13.5" customHeight="1">
      <c r="A44" s="60"/>
      <c r="B44" s="64"/>
      <c r="C44" s="63"/>
      <c r="D44" s="179"/>
      <c r="E44" s="206">
        <f>IF(D42=3,G44,0)</f>
        <v>0</v>
      </c>
      <c r="F44" s="243">
        <f>+($C$4/100)*(E44/$G$93)</f>
        <v>0</v>
      </c>
      <c r="G44" s="211">
        <v>10</v>
      </c>
      <c r="H44" s="244"/>
      <c r="I44" s="242"/>
      <c r="J44" s="242"/>
      <c r="K44" s="242"/>
      <c r="L44" s="242"/>
      <c r="M44" s="242"/>
      <c r="N44" s="242"/>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row>
    <row r="45" spans="1:256" s="7" customFormat="1" ht="12.75">
      <c r="A45" s="60"/>
      <c r="B45" s="64"/>
      <c r="C45" s="63"/>
      <c r="D45" s="179"/>
      <c r="E45" s="206"/>
      <c r="F45" s="243">
        <f>SUM(F42:F44)</f>
        <v>0</v>
      </c>
      <c r="G45" s="218"/>
      <c r="H45" s="244"/>
      <c r="I45" s="242"/>
      <c r="J45" s="242"/>
      <c r="K45" s="242"/>
      <c r="L45" s="242"/>
      <c r="M45" s="242"/>
      <c r="N45" s="242"/>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row>
    <row r="46" spans="1:256" s="7" customFormat="1" ht="21" customHeight="1">
      <c r="A46" s="60"/>
      <c r="B46" s="64"/>
      <c r="C46" s="63"/>
      <c r="D46" s="179"/>
      <c r="E46" s="206"/>
      <c r="F46" s="243">
        <f>IF(F15=1,F45,0)</f>
        <v>0</v>
      </c>
      <c r="G46" s="218"/>
      <c r="H46" s="244"/>
      <c r="I46" s="242"/>
      <c r="J46" s="242"/>
      <c r="K46" s="242"/>
      <c r="L46" s="242"/>
      <c r="M46" s="242"/>
      <c r="N46" s="242"/>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256" s="7" customFormat="1" ht="12.75">
      <c r="A47" s="60"/>
      <c r="B47" s="65"/>
      <c r="C47" s="63"/>
      <c r="D47" s="179"/>
      <c r="E47" s="206"/>
      <c r="F47" s="243"/>
      <c r="G47" s="218">
        <f>IF(E11=1,J48,0)</f>
        <v>10</v>
      </c>
      <c r="H47" s="244"/>
      <c r="I47" s="242"/>
      <c r="J47" s="242" t="s">
        <v>83</v>
      </c>
      <c r="K47" s="242" t="s">
        <v>82</v>
      </c>
      <c r="L47" s="242"/>
      <c r="M47" s="242"/>
      <c r="N47" s="242"/>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row>
    <row r="48" spans="1:256" s="7" customFormat="1" ht="14.25" customHeight="1">
      <c r="A48" s="60"/>
      <c r="B48" s="64"/>
      <c r="C48" s="63"/>
      <c r="D48" s="180">
        <v>0</v>
      </c>
      <c r="E48" s="206">
        <f>IF(D48=1,G48,0)</f>
        <v>0</v>
      </c>
      <c r="F48" s="243">
        <f>+($C$4/100)*(E48/$G$93)</f>
        <v>0</v>
      </c>
      <c r="G48" s="218">
        <f>H48+I48</f>
        <v>0</v>
      </c>
      <c r="H48" s="205">
        <f>IF($D$33=1,J48,0)</f>
        <v>0</v>
      </c>
      <c r="I48" s="205">
        <f>IF($D$33=2,K48,0)</f>
        <v>0</v>
      </c>
      <c r="J48" s="246">
        <v>10</v>
      </c>
      <c r="K48" s="211">
        <v>10</v>
      </c>
      <c r="L48" s="242"/>
      <c r="M48" s="245"/>
      <c r="N48" s="242"/>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row>
    <row r="49" spans="1:256" s="7" customFormat="1" ht="14.25" customHeight="1">
      <c r="A49" s="60"/>
      <c r="B49" s="64"/>
      <c r="C49" s="63"/>
      <c r="D49" s="179"/>
      <c r="E49" s="206">
        <f>IF(D48=2,G49,0)</f>
        <v>0</v>
      </c>
      <c r="F49" s="243">
        <f>+($C$4/100)*(E49/$G$93)</f>
        <v>0</v>
      </c>
      <c r="G49" s="218">
        <f>H49+I49</f>
        <v>0</v>
      </c>
      <c r="H49" s="205">
        <f>IF($D$33=1,J49,0)</f>
        <v>0</v>
      </c>
      <c r="I49" s="205">
        <f>IF($D$33=2,K49,0)</f>
        <v>0</v>
      </c>
      <c r="J49" s="246">
        <v>8</v>
      </c>
      <c r="K49" s="211">
        <v>5</v>
      </c>
      <c r="L49" s="242"/>
      <c r="M49" s="242"/>
      <c r="N49" s="242"/>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row>
    <row r="50" spans="1:256" s="7" customFormat="1" ht="14.25" customHeight="1">
      <c r="A50" s="60"/>
      <c r="B50" s="64"/>
      <c r="C50" s="63"/>
      <c r="D50" s="179"/>
      <c r="E50" s="206">
        <f>IF(D48=3,G50,0)</f>
        <v>0</v>
      </c>
      <c r="F50" s="243">
        <f>+($C$4/100)*(E50/$G$93)</f>
        <v>0</v>
      </c>
      <c r="G50" s="218">
        <f>H50+I50</f>
        <v>0</v>
      </c>
      <c r="H50" s="205">
        <f>IF($D$33=1,J50,0)</f>
        <v>0</v>
      </c>
      <c r="I50" s="205">
        <f>IF($D$33=2,K50,0)</f>
        <v>0</v>
      </c>
      <c r="J50" s="246">
        <v>6</v>
      </c>
      <c r="K50" s="211">
        <v>0</v>
      </c>
      <c r="L50" s="242"/>
      <c r="M50" s="242"/>
      <c r="N50" s="242"/>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row>
    <row r="51" spans="1:256" s="7" customFormat="1" ht="30" customHeight="1">
      <c r="A51" s="60"/>
      <c r="B51" s="64"/>
      <c r="C51" s="63"/>
      <c r="D51" s="179"/>
      <c r="E51" s="206"/>
      <c r="F51" s="243">
        <f>SUM(F48:F50)</f>
        <v>0</v>
      </c>
      <c r="G51" s="218"/>
      <c r="H51" s="244"/>
      <c r="I51" s="242"/>
      <c r="J51" s="242"/>
      <c r="K51" s="242"/>
      <c r="L51" s="242"/>
      <c r="M51" s="242"/>
      <c r="N51" s="242"/>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row>
    <row r="52" spans="1:256" s="7" customFormat="1" ht="10.5" customHeight="1">
      <c r="A52" s="60"/>
      <c r="B52" s="64"/>
      <c r="C52" s="63"/>
      <c r="D52" s="179"/>
      <c r="E52" s="206"/>
      <c r="F52" s="243">
        <f>IF(F11=1,F51,0)</f>
        <v>0</v>
      </c>
      <c r="G52" s="218"/>
      <c r="H52" s="244"/>
      <c r="I52" s="242"/>
      <c r="J52" s="242"/>
      <c r="K52" s="242"/>
      <c r="L52" s="242"/>
      <c r="M52" s="242"/>
      <c r="N52" s="242"/>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row>
    <row r="53" spans="1:256" s="7" customFormat="1" ht="12.75">
      <c r="A53" s="60"/>
      <c r="B53" s="65"/>
      <c r="C53" s="63"/>
      <c r="D53" s="179"/>
      <c r="E53" s="206"/>
      <c r="F53" s="243"/>
      <c r="G53" s="218">
        <f>IF(G24=1,G56,0)</f>
        <v>0</v>
      </c>
      <c r="H53" s="244"/>
      <c r="I53" s="242"/>
      <c r="J53" s="242"/>
      <c r="K53" s="242"/>
      <c r="L53" s="242"/>
      <c r="M53" s="242"/>
      <c r="N53" s="242"/>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row>
    <row r="54" spans="1:256" s="7" customFormat="1" ht="14.25" customHeight="1">
      <c r="A54" s="60"/>
      <c r="B54" s="64"/>
      <c r="C54" s="63"/>
      <c r="D54" s="180">
        <v>0</v>
      </c>
      <c r="E54" s="206">
        <f>IF(D54=1,G54,0)</f>
        <v>0</v>
      </c>
      <c r="F54" s="243">
        <f>+($C$4/100)*(E54/$G$93)</f>
        <v>0</v>
      </c>
      <c r="G54" s="211">
        <v>0</v>
      </c>
      <c r="H54" s="244"/>
      <c r="I54" s="245"/>
      <c r="J54" s="242"/>
      <c r="K54" s="242"/>
      <c r="L54" s="242"/>
      <c r="M54" s="242"/>
      <c r="N54" s="242"/>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row>
    <row r="55" spans="1:256" s="7" customFormat="1" ht="14.25" customHeight="1">
      <c r="A55" s="60"/>
      <c r="B55" s="64"/>
      <c r="C55" s="63"/>
      <c r="D55" s="179"/>
      <c r="E55" s="206">
        <f>IF(D54=2,G55,0)</f>
        <v>0</v>
      </c>
      <c r="F55" s="243">
        <f>+($C$4/100)*(E55/$G$93)</f>
        <v>0</v>
      </c>
      <c r="G55" s="211">
        <v>4</v>
      </c>
      <c r="H55" s="244">
        <v>0</v>
      </c>
      <c r="I55" s="242"/>
      <c r="J55" s="242"/>
      <c r="K55" s="242"/>
      <c r="L55" s="242"/>
      <c r="M55" s="242"/>
      <c r="N55" s="242"/>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row>
    <row r="56" spans="1:256" s="7" customFormat="1" ht="14.25" customHeight="1">
      <c r="A56" s="60"/>
      <c r="B56" s="64"/>
      <c r="C56" s="63"/>
      <c r="D56" s="179"/>
      <c r="E56" s="206">
        <f>IF(D54=3,G56,0)</f>
        <v>0</v>
      </c>
      <c r="F56" s="243">
        <f>+($C$4/100)*(E56/$G$93)</f>
        <v>0</v>
      </c>
      <c r="G56" s="211">
        <v>10</v>
      </c>
      <c r="H56" s="244"/>
      <c r="I56" s="242"/>
      <c r="J56" s="242"/>
      <c r="K56" s="242"/>
      <c r="L56" s="242"/>
      <c r="M56" s="242"/>
      <c r="N56" s="242"/>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row>
    <row r="57" spans="1:256" s="7" customFormat="1" ht="21.75" customHeight="1">
      <c r="A57" s="60"/>
      <c r="B57" s="60"/>
      <c r="C57" s="60"/>
      <c r="D57" s="181"/>
      <c r="E57" s="205"/>
      <c r="F57" s="247">
        <f>SUM(F54:F56)</f>
        <v>0</v>
      </c>
      <c r="G57" s="206"/>
      <c r="H57" s="241"/>
      <c r="I57" s="242"/>
      <c r="J57" s="242"/>
      <c r="K57" s="242"/>
      <c r="L57" s="242"/>
      <c r="M57" s="242"/>
      <c r="N57" s="242"/>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row>
    <row r="58" spans="1:256" s="7" customFormat="1" ht="17.25" customHeight="1">
      <c r="A58" s="60"/>
      <c r="B58" s="64"/>
      <c r="C58" s="63"/>
      <c r="D58" s="179"/>
      <c r="E58" s="206"/>
      <c r="F58" s="243">
        <f>IF(G24=1,F57,0)</f>
        <v>0</v>
      </c>
      <c r="G58" s="218"/>
      <c r="H58" s="244"/>
      <c r="I58" s="242"/>
      <c r="J58" s="242"/>
      <c r="K58" s="242"/>
      <c r="L58" s="242"/>
      <c r="M58" s="242"/>
      <c r="N58" s="242"/>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row>
    <row r="59" spans="1:256" s="7" customFormat="1" ht="12.75">
      <c r="A59" s="60"/>
      <c r="B59" s="65"/>
      <c r="C59" s="63"/>
      <c r="D59" s="179"/>
      <c r="E59" s="206"/>
      <c r="F59" s="243"/>
      <c r="G59" s="218">
        <f>IF(G20=1,G62,0)</f>
        <v>0</v>
      </c>
      <c r="H59" s="244"/>
      <c r="I59" s="242"/>
      <c r="J59" s="242"/>
      <c r="K59" s="242"/>
      <c r="L59" s="242"/>
      <c r="M59" s="242"/>
      <c r="N59" s="242"/>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row>
    <row r="60" spans="1:256" s="7" customFormat="1" ht="13.5" customHeight="1">
      <c r="A60" s="60"/>
      <c r="B60" s="64"/>
      <c r="C60" s="63"/>
      <c r="D60" s="182">
        <v>0</v>
      </c>
      <c r="E60" s="206">
        <f>IF(D60=1,G60,0)</f>
        <v>0</v>
      </c>
      <c r="F60" s="243">
        <f>+($C$4/100)*(E60/$G$93)</f>
        <v>0</v>
      </c>
      <c r="G60" s="211">
        <v>0</v>
      </c>
      <c r="H60" s="244"/>
      <c r="I60" s="245"/>
      <c r="J60" s="204"/>
      <c r="K60" s="242"/>
      <c r="L60" s="242"/>
      <c r="M60" s="242"/>
      <c r="N60" s="242"/>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row>
    <row r="61" spans="1:256" s="7" customFormat="1" ht="13.5" customHeight="1">
      <c r="A61" s="60"/>
      <c r="B61" s="64"/>
      <c r="C61" s="63"/>
      <c r="D61" s="179"/>
      <c r="E61" s="206">
        <f>IF(D60=2,G61,0)</f>
        <v>0</v>
      </c>
      <c r="F61" s="243">
        <f>+($C$4/100)*(E61/$G$93)</f>
        <v>0</v>
      </c>
      <c r="G61" s="211">
        <v>4</v>
      </c>
      <c r="H61" s="244"/>
      <c r="I61" s="245"/>
      <c r="J61" s="204"/>
      <c r="K61" s="242"/>
      <c r="L61" s="242"/>
      <c r="M61" s="242"/>
      <c r="N61" s="242"/>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row>
    <row r="62" spans="1:256" s="7" customFormat="1" ht="13.5" customHeight="1">
      <c r="A62" s="60"/>
      <c r="B62" s="64"/>
      <c r="C62" s="63"/>
      <c r="D62" s="179"/>
      <c r="E62" s="206">
        <f>IF(D60=3,G62,0)</f>
        <v>0</v>
      </c>
      <c r="F62" s="243">
        <f>+($C$4/100)*(E62/$G$93)</f>
        <v>0</v>
      </c>
      <c r="G62" s="211">
        <v>10</v>
      </c>
      <c r="H62" s="244"/>
      <c r="I62" s="245"/>
      <c r="J62" s="204"/>
      <c r="K62" s="242"/>
      <c r="L62" s="242"/>
      <c r="M62" s="242"/>
      <c r="N62" s="242"/>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row>
    <row r="63" spans="1:256" s="7" customFormat="1" ht="12.75">
      <c r="A63" s="60"/>
      <c r="B63" s="60"/>
      <c r="C63" s="60"/>
      <c r="D63" s="181"/>
      <c r="E63" s="205"/>
      <c r="F63" s="247">
        <f>SUM(F60:F62)</f>
        <v>0</v>
      </c>
      <c r="G63" s="206"/>
      <c r="H63" s="241"/>
      <c r="I63" s="245"/>
      <c r="J63" s="204"/>
      <c r="K63" s="242"/>
      <c r="L63" s="242"/>
      <c r="M63" s="242"/>
      <c r="N63" s="242"/>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row>
    <row r="64" spans="1:256" s="12" customFormat="1" ht="12.75">
      <c r="A64" s="60"/>
      <c r="B64" s="64"/>
      <c r="C64" s="60"/>
      <c r="D64" s="181"/>
      <c r="E64" s="205"/>
      <c r="F64" s="247">
        <f>IF(G20=1,F63,0)</f>
        <v>0</v>
      </c>
      <c r="G64" s="206"/>
      <c r="H64" s="241"/>
      <c r="I64" s="242"/>
      <c r="J64" s="242"/>
      <c r="K64" s="242"/>
      <c r="L64" s="207"/>
      <c r="M64" s="207"/>
      <c r="N64" s="207"/>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row>
    <row r="65" spans="1:256" s="12" customFormat="1" ht="12.75">
      <c r="A65" s="60"/>
      <c r="B65" s="64"/>
      <c r="C65" s="60"/>
      <c r="D65" s="181"/>
      <c r="E65" s="205"/>
      <c r="F65" s="247"/>
      <c r="G65" s="206"/>
      <c r="H65" s="241"/>
      <c r="I65" s="242"/>
      <c r="J65" s="242"/>
      <c r="K65" s="242"/>
      <c r="L65" s="207"/>
      <c r="M65" s="207"/>
      <c r="N65" s="207"/>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row>
    <row r="66" spans="1:256" s="12" customFormat="1" ht="12.75">
      <c r="A66" s="60"/>
      <c r="B66" s="154" t="s">
        <v>337</v>
      </c>
      <c r="C66" s="60"/>
      <c r="D66" s="181"/>
      <c r="E66" s="205"/>
      <c r="F66" s="247">
        <f>+F46+F52+F58+F64</f>
        <v>0</v>
      </c>
      <c r="G66" s="206"/>
      <c r="H66" s="241"/>
      <c r="I66" s="242"/>
      <c r="J66" s="242"/>
      <c r="K66" s="242"/>
      <c r="L66" s="207"/>
      <c r="M66" s="207"/>
      <c r="N66" s="207"/>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row>
    <row r="67" spans="1:256" s="12" customFormat="1" ht="25.5" hidden="1">
      <c r="A67" s="35"/>
      <c r="B67" s="80" t="s">
        <v>51</v>
      </c>
      <c r="C67" s="35"/>
      <c r="D67" s="181"/>
      <c r="E67" s="248"/>
      <c r="F67" s="249"/>
      <c r="G67" s="224"/>
      <c r="H67" s="241"/>
      <c r="I67" s="248"/>
      <c r="J67" s="207"/>
      <c r="K67" s="207"/>
      <c r="L67" s="207"/>
      <c r="M67" s="207"/>
      <c r="N67" s="207"/>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row>
    <row r="68" spans="1:256" s="12" customFormat="1" ht="12.75" hidden="1">
      <c r="A68" s="35"/>
      <c r="B68" s="80"/>
      <c r="C68" s="35"/>
      <c r="D68" s="181"/>
      <c r="E68" s="248"/>
      <c r="F68" s="249"/>
      <c r="G68" s="224"/>
      <c r="H68" s="241"/>
      <c r="I68" s="248"/>
      <c r="J68" s="207"/>
      <c r="K68" s="207"/>
      <c r="L68" s="207"/>
      <c r="M68" s="207"/>
      <c r="N68" s="207"/>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row>
    <row r="69" spans="1:256" s="12" customFormat="1" ht="12.75" hidden="1">
      <c r="A69" s="35"/>
      <c r="B69" s="80" t="s">
        <v>30</v>
      </c>
      <c r="C69" s="35"/>
      <c r="D69" s="181"/>
      <c r="E69" s="248"/>
      <c r="F69" s="249"/>
      <c r="G69" s="224"/>
      <c r="H69" s="241"/>
      <c r="I69" s="248"/>
      <c r="J69" s="207"/>
      <c r="K69" s="207"/>
      <c r="L69" s="207"/>
      <c r="M69" s="207"/>
      <c r="N69" s="207"/>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row>
    <row r="70" spans="1:256" s="12" customFormat="1" ht="12.75" hidden="1">
      <c r="A70" s="35"/>
      <c r="B70" s="81" t="s">
        <v>17</v>
      </c>
      <c r="C70" s="72"/>
      <c r="D70" s="250"/>
      <c r="E70" s="251">
        <f>IF(F29+G29&gt;1,G70,0)</f>
        <v>0</v>
      </c>
      <c r="F70" s="252">
        <f>+($C$4/100)*(E70/$G$93)</f>
        <v>0</v>
      </c>
      <c r="G70" s="253">
        <v>4</v>
      </c>
      <c r="H70" s="244"/>
      <c r="I70" s="207"/>
      <c r="J70" s="207"/>
      <c r="K70" s="207"/>
      <c r="L70" s="207"/>
      <c r="M70" s="207"/>
      <c r="N70" s="207"/>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row>
    <row r="71" spans="1:256" s="12" customFormat="1" ht="12.75" hidden="1">
      <c r="A71" s="35"/>
      <c r="B71" s="80" t="s">
        <v>18</v>
      </c>
      <c r="C71" s="35"/>
      <c r="D71" s="181"/>
      <c r="E71" s="205">
        <f>IF(I28&gt;0,G71,0)</f>
        <v>0</v>
      </c>
      <c r="F71" s="247">
        <f>+($C$4/100)*(E71/$G$93)</f>
        <v>0</v>
      </c>
      <c r="G71" s="211">
        <v>3</v>
      </c>
      <c r="H71" s="244"/>
      <c r="I71" s="207"/>
      <c r="J71" s="207"/>
      <c r="K71" s="207"/>
      <c r="L71" s="207"/>
      <c r="M71" s="207"/>
      <c r="N71" s="207"/>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row>
    <row r="72" spans="1:256" s="12" customFormat="1" ht="15" customHeight="1" hidden="1">
      <c r="A72" s="35"/>
      <c r="B72" s="80" t="s">
        <v>19</v>
      </c>
      <c r="C72" s="35"/>
      <c r="D72" s="181"/>
      <c r="E72" s="205">
        <f>IF(E28=2,G72,0)</f>
        <v>0</v>
      </c>
      <c r="F72" s="247">
        <f>+($C$4/100)*(E72/$G$93)</f>
        <v>0</v>
      </c>
      <c r="G72" s="211">
        <v>1</v>
      </c>
      <c r="H72" s="244"/>
      <c r="I72" s="207"/>
      <c r="J72" s="207"/>
      <c r="K72" s="207"/>
      <c r="L72" s="207"/>
      <c r="M72" s="207"/>
      <c r="N72" s="207"/>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row>
    <row r="73" spans="1:256" s="12" customFormat="1" ht="12.75" hidden="1">
      <c r="A73" s="35"/>
      <c r="B73" s="82" t="s">
        <v>20</v>
      </c>
      <c r="C73" s="73"/>
      <c r="D73" s="235"/>
      <c r="E73" s="237">
        <f>IF(E28&gt;2,G73,0)</f>
        <v>0</v>
      </c>
      <c r="F73" s="254">
        <f>+($C$4/100)*(E73/$G$93)</f>
        <v>0</v>
      </c>
      <c r="G73" s="255">
        <v>3</v>
      </c>
      <c r="H73" s="244"/>
      <c r="I73" s="207"/>
      <c r="J73" s="207"/>
      <c r="K73" s="207"/>
      <c r="L73" s="207"/>
      <c r="M73" s="207"/>
      <c r="N73" s="207"/>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row>
    <row r="74" spans="1:256" s="12" customFormat="1" ht="12.75" hidden="1">
      <c r="A74" s="35"/>
      <c r="B74" s="83"/>
      <c r="C74" s="35"/>
      <c r="D74" s="181"/>
      <c r="E74" s="205">
        <f>SUM(E70:E73)</f>
        <v>0</v>
      </c>
      <c r="F74" s="247">
        <f>SUM(F70:F73)</f>
        <v>0</v>
      </c>
      <c r="G74" s="206">
        <f>+G70+G71+G73</f>
        <v>10</v>
      </c>
      <c r="H74" s="241"/>
      <c r="I74" s="207"/>
      <c r="J74" s="207"/>
      <c r="K74" s="207"/>
      <c r="L74" s="207"/>
      <c r="M74" s="207"/>
      <c r="N74" s="207"/>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row>
    <row r="75" spans="1:256" s="12" customFormat="1" ht="12.75" hidden="1">
      <c r="A75" s="35"/>
      <c r="B75" s="84"/>
      <c r="C75" s="35"/>
      <c r="D75" s="181"/>
      <c r="E75" s="205"/>
      <c r="F75" s="247"/>
      <c r="G75" s="206"/>
      <c r="H75" s="241"/>
      <c r="I75" s="207"/>
      <c r="J75" s="207"/>
      <c r="K75" s="207"/>
      <c r="L75" s="207"/>
      <c r="M75" s="207"/>
      <c r="N75" s="207"/>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row>
    <row r="76" spans="1:256" s="12" customFormat="1" ht="25.5" hidden="1">
      <c r="A76" s="35"/>
      <c r="B76" s="86" t="s">
        <v>74</v>
      </c>
      <c r="C76" s="149">
        <f>+$K$28/($J$28+$K$28)*100</f>
        <v>0</v>
      </c>
      <c r="D76" s="256"/>
      <c r="E76" s="237"/>
      <c r="F76" s="254"/>
      <c r="G76" s="236"/>
      <c r="H76" s="207"/>
      <c r="I76" s="207"/>
      <c r="J76" s="207"/>
      <c r="K76" s="241" t="s">
        <v>75</v>
      </c>
      <c r="L76" s="207" t="s">
        <v>76</v>
      </c>
      <c r="M76" s="207" t="s">
        <v>77</v>
      </c>
      <c r="N76" s="207"/>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c r="IV76" s="60"/>
    </row>
    <row r="77" spans="1:256" s="12" customFormat="1" ht="12.75" hidden="1">
      <c r="A77" s="35"/>
      <c r="B77" s="83" t="s">
        <v>334</v>
      </c>
      <c r="C77" s="74"/>
      <c r="D77" s="257"/>
      <c r="E77" s="205">
        <f>IF(C$76&lt;=20,IF(C$76&lt;=30,G77,0),0)</f>
        <v>0</v>
      </c>
      <c r="F77" s="247">
        <f>+($C$4/100)*(E77/$G$93)</f>
        <v>0</v>
      </c>
      <c r="G77" s="218">
        <f>+H77+I77+J77</f>
        <v>0</v>
      </c>
      <c r="H77" s="205">
        <f>IF($D$37=1,K77,0)</f>
        <v>0</v>
      </c>
      <c r="I77" s="205">
        <f>IF($D$37=2,L77,0)</f>
        <v>0</v>
      </c>
      <c r="J77" s="205">
        <f>IF($D$37=3,M77,0)</f>
        <v>0</v>
      </c>
      <c r="K77" s="258">
        <v>6</v>
      </c>
      <c r="L77" s="246">
        <v>4</v>
      </c>
      <c r="M77" s="246">
        <v>0</v>
      </c>
      <c r="N77" s="207"/>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c r="IV77" s="60"/>
    </row>
    <row r="78" spans="1:256" s="12" customFormat="1" ht="12.75" hidden="1">
      <c r="A78" s="35"/>
      <c r="B78" s="83" t="s">
        <v>59</v>
      </c>
      <c r="C78" s="35"/>
      <c r="D78" s="181"/>
      <c r="E78" s="205">
        <f>IF(C$76&gt;20,IF(C$76&lt;=30,G78,0),0)</f>
        <v>0</v>
      </c>
      <c r="F78" s="247">
        <f>+($C$4/100)*(E78/$G$93)</f>
        <v>0</v>
      </c>
      <c r="G78" s="218">
        <f>+H78+I78+J78</f>
        <v>0</v>
      </c>
      <c r="H78" s="205">
        <f>IF($D$37=1,K78,0)</f>
        <v>0</v>
      </c>
      <c r="I78" s="205">
        <f>IF($D$37=2,L78,0)</f>
        <v>0</v>
      </c>
      <c r="J78" s="205">
        <f>IF($D$37=3,M78,0)</f>
        <v>0</v>
      </c>
      <c r="K78" s="211">
        <v>10</v>
      </c>
      <c r="L78" s="246">
        <v>6</v>
      </c>
      <c r="M78" s="246">
        <v>2</v>
      </c>
      <c r="N78" s="207"/>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c r="IV78" s="60"/>
    </row>
    <row r="79" spans="1:256" s="12" customFormat="1" ht="12.75" hidden="1">
      <c r="A79" s="35"/>
      <c r="B79" s="83" t="s">
        <v>60</v>
      </c>
      <c r="C79" s="35"/>
      <c r="D79" s="181"/>
      <c r="E79" s="205">
        <f>IF(C$76&gt;30,IF(C$76&lt;=40,G79,0),0)</f>
        <v>0</v>
      </c>
      <c r="F79" s="247">
        <f>+($C$4/100)*(E79/$G$93)</f>
        <v>0</v>
      </c>
      <c r="G79" s="218">
        <f>+H79+I79+J79</f>
        <v>0</v>
      </c>
      <c r="H79" s="205">
        <f>IF($D$37=1,K79,0)</f>
        <v>0</v>
      </c>
      <c r="I79" s="205">
        <f>IF($D$37=2,L79,0)</f>
        <v>0</v>
      </c>
      <c r="J79" s="205">
        <f>IF($D$37=3,M79,0)</f>
        <v>0</v>
      </c>
      <c r="K79" s="211">
        <v>14</v>
      </c>
      <c r="L79" s="246">
        <v>10</v>
      </c>
      <c r="M79" s="246">
        <v>6</v>
      </c>
      <c r="N79" s="207"/>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c r="IN79" s="60"/>
      <c r="IO79" s="60"/>
      <c r="IP79" s="60"/>
      <c r="IQ79" s="60"/>
      <c r="IR79" s="60"/>
      <c r="IS79" s="60"/>
      <c r="IT79" s="60"/>
      <c r="IU79" s="60"/>
      <c r="IV79" s="60"/>
    </row>
    <row r="80" spans="1:256" s="12" customFormat="1" ht="12.75" hidden="1">
      <c r="A80" s="35"/>
      <c r="B80" s="83" t="s">
        <v>61</v>
      </c>
      <c r="C80" s="35"/>
      <c r="D80" s="181"/>
      <c r="E80" s="205">
        <f>IF(C$76&gt;40,IF(C$76&lt;=50,G80,0),0)</f>
        <v>0</v>
      </c>
      <c r="F80" s="247">
        <f>+($C$4/100)*(E80/$G$93)</f>
        <v>0</v>
      </c>
      <c r="G80" s="218">
        <f>+H80+I80+J80</f>
        <v>0</v>
      </c>
      <c r="H80" s="205">
        <f>IF($D$37=1,K80,0)</f>
        <v>0</v>
      </c>
      <c r="I80" s="205">
        <f>IF($D$37=2,L80,0)</f>
        <v>0</v>
      </c>
      <c r="J80" s="205">
        <f>IF($D$37=3,M80,0)</f>
        <v>0</v>
      </c>
      <c r="K80" s="211">
        <v>20</v>
      </c>
      <c r="L80" s="246">
        <v>18</v>
      </c>
      <c r="M80" s="246">
        <v>15</v>
      </c>
      <c r="N80" s="207"/>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row>
    <row r="81" spans="1:256" s="12" customFormat="1" ht="12.75" hidden="1">
      <c r="A81" s="35"/>
      <c r="B81" s="86" t="s">
        <v>29</v>
      </c>
      <c r="C81" s="73"/>
      <c r="D81" s="235"/>
      <c r="E81" s="237">
        <f>IF(C$76&gt;50,G81,0)</f>
        <v>0</v>
      </c>
      <c r="F81" s="254">
        <f>+($C$4/100)*(E81/$G$93)</f>
        <v>0</v>
      </c>
      <c r="G81" s="259">
        <f>+H81+I81+J81</f>
        <v>0</v>
      </c>
      <c r="H81" s="205">
        <f>IF($D$37=1,K81,0)</f>
        <v>0</v>
      </c>
      <c r="I81" s="205">
        <f>IF($D$37=2,L81,0)</f>
        <v>0</v>
      </c>
      <c r="J81" s="205">
        <f>IF($D$37=3,M81,0)</f>
        <v>0</v>
      </c>
      <c r="K81" s="211">
        <v>20</v>
      </c>
      <c r="L81" s="246">
        <v>20</v>
      </c>
      <c r="M81" s="246">
        <v>20</v>
      </c>
      <c r="N81" s="207"/>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row>
    <row r="82" spans="1:256" s="12" customFormat="1" ht="12.75" hidden="1">
      <c r="A82" s="35"/>
      <c r="B82" s="83"/>
      <c r="C82" s="35"/>
      <c r="D82" s="181"/>
      <c r="E82" s="205">
        <f>SUM(E77:E81)</f>
        <v>0</v>
      </c>
      <c r="F82" s="247">
        <f>SUM(F77:F81)</f>
        <v>0</v>
      </c>
      <c r="G82" s="206">
        <f>G81</f>
        <v>0</v>
      </c>
      <c r="H82" s="241"/>
      <c r="I82" s="207"/>
      <c r="J82" s="207"/>
      <c r="K82" s="207"/>
      <c r="L82" s="207"/>
      <c r="M82" s="207"/>
      <c r="N82" s="207"/>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c r="IV82" s="60"/>
    </row>
    <row r="83" spans="1:256" s="12" customFormat="1" ht="12.75" hidden="1">
      <c r="A83" s="35"/>
      <c r="B83" s="83"/>
      <c r="C83" s="35"/>
      <c r="D83" s="181"/>
      <c r="E83" s="205"/>
      <c r="F83" s="247"/>
      <c r="G83" s="206"/>
      <c r="H83" s="241"/>
      <c r="I83" s="207"/>
      <c r="J83" s="207"/>
      <c r="K83" s="207"/>
      <c r="L83" s="207"/>
      <c r="M83" s="207"/>
      <c r="N83" s="207"/>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c r="IV83" s="60"/>
    </row>
    <row r="84" spans="1:256" s="12" customFormat="1" ht="12.75" hidden="1">
      <c r="A84" s="35"/>
      <c r="B84" s="87" t="s">
        <v>73</v>
      </c>
      <c r="C84" s="75">
        <f>IF(C21+C22&gt;0,+C21/(C21+C22),0)</f>
        <v>0</v>
      </c>
      <c r="D84" s="260"/>
      <c r="E84" s="261">
        <f>+C84*G84</f>
        <v>0</v>
      </c>
      <c r="F84" s="262">
        <f>+($C$4/100)*(E84/G93)</f>
        <v>0</v>
      </c>
      <c r="G84" s="263">
        <f>IF((C21+C22)&gt;0,10,0)</f>
        <v>0</v>
      </c>
      <c r="H84" s="241"/>
      <c r="I84" s="207"/>
      <c r="J84" s="207"/>
      <c r="K84" s="207"/>
      <c r="L84" s="207"/>
      <c r="M84" s="207"/>
      <c r="N84" s="207"/>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c r="IV84" s="60"/>
    </row>
    <row r="85" spans="1:256" s="12" customFormat="1" ht="12.75" hidden="1">
      <c r="A85" s="35"/>
      <c r="B85" s="83"/>
      <c r="C85" s="35"/>
      <c r="D85" s="181"/>
      <c r="E85" s="205"/>
      <c r="F85" s="247">
        <f>+F84</f>
        <v>0</v>
      </c>
      <c r="G85" s="206">
        <f>+G84</f>
        <v>0</v>
      </c>
      <c r="H85" s="241"/>
      <c r="I85" s="207"/>
      <c r="J85" s="207"/>
      <c r="K85" s="207"/>
      <c r="L85" s="207"/>
      <c r="M85" s="207"/>
      <c r="N85" s="207"/>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0"/>
      <c r="HO85" s="60"/>
      <c r="HP85" s="60"/>
      <c r="HQ85" s="60"/>
      <c r="HR85" s="60"/>
      <c r="HS85" s="60"/>
      <c r="HT85" s="60"/>
      <c r="HU85" s="60"/>
      <c r="HV85" s="60"/>
      <c r="HW85" s="60"/>
      <c r="HX85" s="60"/>
      <c r="HY85" s="60"/>
      <c r="HZ85" s="60"/>
      <c r="IA85" s="60"/>
      <c r="IB85" s="60"/>
      <c r="IC85" s="60"/>
      <c r="ID85" s="60"/>
      <c r="IE85" s="60"/>
      <c r="IF85" s="60"/>
      <c r="IG85" s="60"/>
      <c r="IH85" s="60"/>
      <c r="II85" s="60"/>
      <c r="IJ85" s="60"/>
      <c r="IK85" s="60"/>
      <c r="IL85" s="60"/>
      <c r="IM85" s="60"/>
      <c r="IN85" s="60"/>
      <c r="IO85" s="60"/>
      <c r="IP85" s="60"/>
      <c r="IQ85" s="60"/>
      <c r="IR85" s="60"/>
      <c r="IS85" s="60"/>
      <c r="IT85" s="60"/>
      <c r="IU85" s="60"/>
      <c r="IV85" s="60"/>
    </row>
    <row r="86" spans="1:256" s="12" customFormat="1" ht="12.75" hidden="1">
      <c r="A86" s="35"/>
      <c r="B86" s="86" t="s">
        <v>113</v>
      </c>
      <c r="C86" s="73">
        <f>(+C23/C28)*100</f>
        <v>0</v>
      </c>
      <c r="D86" s="235"/>
      <c r="E86" s="237"/>
      <c r="F86" s="254"/>
      <c r="G86" s="236"/>
      <c r="H86" s="241"/>
      <c r="I86" s="207"/>
      <c r="J86" s="207"/>
      <c r="K86" s="207"/>
      <c r="L86" s="207"/>
      <c r="M86" s="207"/>
      <c r="N86" s="207"/>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c r="IV86" s="60"/>
    </row>
    <row r="87" spans="1:256" s="12" customFormat="1" ht="12.75" hidden="1">
      <c r="A87" s="35"/>
      <c r="B87" s="85" t="s">
        <v>365</v>
      </c>
      <c r="C87" s="72"/>
      <c r="D87" s="250"/>
      <c r="E87" s="251">
        <f>IF(C86&gt;5,IF(C86&lt;=15,G87,0),0)</f>
        <v>0</v>
      </c>
      <c r="F87" s="252">
        <f>+($C$4/100)*(E87/$G$93)</f>
        <v>0</v>
      </c>
      <c r="G87" s="264">
        <v>2</v>
      </c>
      <c r="H87" s="241"/>
      <c r="I87" s="207"/>
      <c r="J87" s="207"/>
      <c r="K87" s="207"/>
      <c r="L87" s="207"/>
      <c r="M87" s="207"/>
      <c r="N87" s="207"/>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row>
    <row r="88" spans="1:256" s="12" customFormat="1" ht="12.75" hidden="1">
      <c r="A88" s="35"/>
      <c r="B88" s="83" t="s">
        <v>364</v>
      </c>
      <c r="C88" s="35"/>
      <c r="D88" s="181"/>
      <c r="E88" s="205">
        <f>IF(C86&gt;15,IF(C86&lt;=25,G88,0),0)</f>
        <v>0</v>
      </c>
      <c r="F88" s="247">
        <f>+($C$4/100)*(E88/$G$93)</f>
        <v>0</v>
      </c>
      <c r="G88" s="264">
        <v>5</v>
      </c>
      <c r="H88" s="241"/>
      <c r="I88" s="207"/>
      <c r="J88" s="207"/>
      <c r="K88" s="207"/>
      <c r="L88" s="207"/>
      <c r="M88" s="207"/>
      <c r="N88" s="207"/>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c r="IT88" s="60"/>
      <c r="IU88" s="60"/>
      <c r="IV88" s="60"/>
    </row>
    <row r="89" spans="1:256" s="12" customFormat="1" ht="12.75" hidden="1">
      <c r="A89" s="35"/>
      <c r="B89" s="83" t="s">
        <v>363</v>
      </c>
      <c r="C89" s="35"/>
      <c r="D89" s="181"/>
      <c r="E89" s="205">
        <f>IF(C86&gt;25,IF(C86&lt;=35,G89,0),0)</f>
        <v>0</v>
      </c>
      <c r="F89" s="247">
        <f>+($C$4/100)*(E89/$G$93)</f>
        <v>0</v>
      </c>
      <c r="G89" s="264">
        <v>8</v>
      </c>
      <c r="H89" s="241"/>
      <c r="I89" s="207"/>
      <c r="J89" s="207"/>
      <c r="K89" s="207"/>
      <c r="L89" s="207"/>
      <c r="M89" s="207"/>
      <c r="N89" s="207"/>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c r="IC89" s="60"/>
      <c r="ID89" s="60"/>
      <c r="IE89" s="60"/>
      <c r="IF89" s="60"/>
      <c r="IG89" s="60"/>
      <c r="IH89" s="60"/>
      <c r="II89" s="60"/>
      <c r="IJ89" s="60"/>
      <c r="IK89" s="60"/>
      <c r="IL89" s="60"/>
      <c r="IM89" s="60"/>
      <c r="IN89" s="60"/>
      <c r="IO89" s="60"/>
      <c r="IP89" s="60"/>
      <c r="IQ89" s="60"/>
      <c r="IR89" s="60"/>
      <c r="IS89" s="60"/>
      <c r="IT89" s="60"/>
      <c r="IU89" s="60"/>
      <c r="IV89" s="60"/>
    </row>
    <row r="90" spans="1:256" s="12" customFormat="1" ht="12.75" hidden="1">
      <c r="A90" s="35"/>
      <c r="B90" s="86" t="s">
        <v>362</v>
      </c>
      <c r="C90" s="73"/>
      <c r="D90" s="235"/>
      <c r="E90" s="237">
        <f>IF(C86&gt;35,G90,0)</f>
        <v>0</v>
      </c>
      <c r="F90" s="254">
        <f>+($C$4/100)*(E90/$G$93)</f>
        <v>0</v>
      </c>
      <c r="G90" s="265">
        <v>10</v>
      </c>
      <c r="H90" s="241"/>
      <c r="I90" s="207"/>
      <c r="J90" s="207"/>
      <c r="K90" s="207"/>
      <c r="L90" s="207"/>
      <c r="M90" s="207"/>
      <c r="N90" s="207"/>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c r="IU90" s="60"/>
      <c r="IV90" s="60"/>
    </row>
    <row r="91" spans="1:256" s="12" customFormat="1" ht="12.75" hidden="1">
      <c r="A91" s="35"/>
      <c r="B91" s="83"/>
      <c r="C91" s="35"/>
      <c r="D91" s="181"/>
      <c r="E91" s="205">
        <f>SUM(E87:E90)</f>
        <v>0</v>
      </c>
      <c r="F91" s="247">
        <f>SUM(F87:F90)</f>
        <v>0</v>
      </c>
      <c r="G91" s="206">
        <f>IF(C23&gt;0,G90,0)</f>
        <v>0</v>
      </c>
      <c r="H91" s="241"/>
      <c r="I91" s="207"/>
      <c r="J91" s="207"/>
      <c r="K91" s="207"/>
      <c r="L91" s="207"/>
      <c r="M91" s="207"/>
      <c r="N91" s="207"/>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c r="IC91" s="60"/>
      <c r="ID91" s="60"/>
      <c r="IE91" s="60"/>
      <c r="IF91" s="60"/>
      <c r="IG91" s="60"/>
      <c r="IH91" s="60"/>
      <c r="II91" s="60"/>
      <c r="IJ91" s="60"/>
      <c r="IK91" s="60"/>
      <c r="IL91" s="60"/>
      <c r="IM91" s="60"/>
      <c r="IN91" s="60"/>
      <c r="IO91" s="60"/>
      <c r="IP91" s="60"/>
      <c r="IQ91" s="60"/>
      <c r="IR91" s="60"/>
      <c r="IS91" s="60"/>
      <c r="IT91" s="60"/>
      <c r="IU91" s="60"/>
      <c r="IV91" s="60"/>
    </row>
    <row r="92" spans="1:256" s="12" customFormat="1" ht="12.75" hidden="1">
      <c r="A92" s="35"/>
      <c r="B92" s="83"/>
      <c r="C92" s="35"/>
      <c r="D92" s="181"/>
      <c r="E92" s="205"/>
      <c r="F92" s="247"/>
      <c r="G92" s="206"/>
      <c r="H92" s="241"/>
      <c r="I92" s="207"/>
      <c r="J92" s="207"/>
      <c r="K92" s="207"/>
      <c r="L92" s="207"/>
      <c r="M92" s="207"/>
      <c r="N92" s="207"/>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c r="IV92" s="60"/>
    </row>
    <row r="93" spans="1:8" ht="12.75" hidden="1">
      <c r="A93" s="69"/>
      <c r="B93" s="83" t="s">
        <v>80</v>
      </c>
      <c r="C93" s="35"/>
      <c r="D93" s="181"/>
      <c r="E93" s="205"/>
      <c r="F93" s="247">
        <f>+F66+F74+F82+F85+F91</f>
        <v>0</v>
      </c>
      <c r="G93" s="206">
        <f>+G41+G47+G53+G59+G74+G82+G85+G91</f>
        <v>20</v>
      </c>
      <c r="H93" s="241"/>
    </row>
    <row r="94" spans="1:3" ht="12.75" hidden="1">
      <c r="A94" s="69"/>
      <c r="B94" s="76"/>
      <c r="C94" s="69"/>
    </row>
    <row r="95" spans="1:6" ht="12.75" hidden="1">
      <c r="A95" s="69"/>
      <c r="B95" s="76" t="s">
        <v>81</v>
      </c>
      <c r="C95" s="69"/>
      <c r="F95" s="266">
        <f>+F93*100</f>
        <v>0</v>
      </c>
    </row>
    <row r="145" ht="12.75"/>
    <row r="146" ht="12.75"/>
    <row r="147" ht="12.75"/>
    <row r="148" ht="12.75"/>
    <row r="150" ht="12.75"/>
    <row r="151" ht="12.75"/>
    <row r="152" ht="12.75"/>
    <row r="153" ht="12.75"/>
    <row r="154" ht="12.75"/>
  </sheetData>
  <sheetProtection/>
  <mergeCells count="2">
    <mergeCell ref="B7:C7"/>
    <mergeCell ref="C31:C32"/>
  </mergeCells>
  <printOptions/>
  <pageMargins left="1.141732283464567" right="0.7086614173228347" top="0.35433070866141736" bottom="0.31496062992125984" header="0.31496062992125984" footer="0.35433070866141736"/>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Ark3"/>
  <dimension ref="A1:BM31"/>
  <sheetViews>
    <sheetView zoomScalePageLayoutView="0" workbookViewId="0" topLeftCell="A5">
      <selection activeCell="A5" sqref="A5"/>
    </sheetView>
  </sheetViews>
  <sheetFormatPr defaultColWidth="9.140625" defaultRowHeight="15"/>
  <cols>
    <col min="1" max="1" width="3.421875" style="190" customWidth="1"/>
    <col min="2" max="2" width="72.57421875" style="190" customWidth="1"/>
    <col min="3" max="3" width="10.00390625" style="197" customWidth="1"/>
    <col min="4" max="4" width="5.00390625" style="197" customWidth="1"/>
    <col min="5" max="5" width="9.7109375" style="185" hidden="1" customWidth="1"/>
    <col min="6" max="6" width="8.7109375" style="192" hidden="1" customWidth="1"/>
    <col min="7" max="7" width="14.28125" style="192" hidden="1" customWidth="1"/>
    <col min="8" max="8" width="11.57421875" style="193" hidden="1" customWidth="1"/>
    <col min="9" max="65" width="9.140625" style="190" customWidth="1"/>
    <col min="66" max="16384" width="9.140625" style="192" customWidth="1"/>
  </cols>
  <sheetData>
    <row r="1" spans="3:8" s="183" customFormat="1" ht="12.75" hidden="1">
      <c r="C1" s="184"/>
      <c r="D1" s="184"/>
      <c r="E1" s="185"/>
      <c r="H1" s="186"/>
    </row>
    <row r="2" spans="2:8" s="183" customFormat="1" ht="12.75" hidden="1">
      <c r="B2" s="187" t="s">
        <v>47</v>
      </c>
      <c r="C2" s="184"/>
      <c r="D2" s="184"/>
      <c r="E2" s="185"/>
      <c r="H2" s="186"/>
    </row>
    <row r="3" spans="2:8" s="183" customFormat="1" ht="38.25" hidden="1">
      <c r="B3" s="187" t="s">
        <v>52</v>
      </c>
      <c r="C3" s="184"/>
      <c r="D3" s="184"/>
      <c r="E3" s="185"/>
      <c r="H3" s="186"/>
    </row>
    <row r="4" spans="2:8" s="183" customFormat="1" ht="12.75" hidden="1">
      <c r="B4" s="183" t="s">
        <v>1</v>
      </c>
      <c r="C4" s="188">
        <f>+'IPM-point'!E10</f>
        <v>4</v>
      </c>
      <c r="D4" s="188"/>
      <c r="E4" s="189"/>
      <c r="H4" s="186"/>
    </row>
    <row r="5" spans="3:5" ht="20.25" customHeight="1">
      <c r="C5" s="191"/>
      <c r="D5" s="191"/>
      <c r="E5" s="189"/>
    </row>
    <row r="6" spans="2:5" ht="20.25" customHeight="1">
      <c r="B6" s="286" t="s">
        <v>177</v>
      </c>
      <c r="C6" s="286"/>
      <c r="D6" s="194"/>
      <c r="E6" s="195"/>
    </row>
    <row r="7" spans="2:8" ht="14.25" customHeight="1">
      <c r="B7" s="196"/>
      <c r="F7" s="198" t="s">
        <v>25</v>
      </c>
      <c r="G7" s="199" t="s">
        <v>23</v>
      </c>
      <c r="H7" s="200" t="s">
        <v>21</v>
      </c>
    </row>
    <row r="8" spans="1:65" s="207" customFormat="1" ht="12.75">
      <c r="A8" s="201"/>
      <c r="B8" s="202"/>
      <c r="C8" s="203" t="s">
        <v>114</v>
      </c>
      <c r="D8" s="203"/>
      <c r="E8" s="204"/>
      <c r="F8" s="205"/>
      <c r="G8" s="205"/>
      <c r="H8" s="206">
        <f>+H9</f>
        <v>10</v>
      </c>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row>
    <row r="9" spans="1:65" s="207" customFormat="1" ht="57.75" customHeight="1">
      <c r="A9" s="201"/>
      <c r="B9" s="208" t="s">
        <v>188</v>
      </c>
      <c r="C9" s="209">
        <v>0</v>
      </c>
      <c r="D9" s="210"/>
      <c r="E9" s="204"/>
      <c r="F9" s="205">
        <f>+C9</f>
        <v>0</v>
      </c>
      <c r="G9" s="205">
        <f>+($C$4/100)*(F9/$H$29)</f>
        <v>0</v>
      </c>
      <c r="H9" s="211">
        <v>10</v>
      </c>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row>
    <row r="10" spans="2:8" ht="12.75">
      <c r="B10" s="212"/>
      <c r="C10" s="203"/>
      <c r="D10" s="203"/>
      <c r="E10" s="204"/>
      <c r="F10" s="213"/>
      <c r="G10" s="214"/>
      <c r="H10" s="215"/>
    </row>
    <row r="11" spans="2:8" ht="12.75">
      <c r="B11" s="212"/>
      <c r="C11" s="203"/>
      <c r="D11" s="203"/>
      <c r="E11" s="204"/>
      <c r="F11" s="213"/>
      <c r="G11" s="214"/>
      <c r="H11" s="216"/>
    </row>
    <row r="12" spans="1:65" s="207" customFormat="1" ht="19.5" customHeight="1">
      <c r="A12" s="201"/>
      <c r="B12" s="217" t="s">
        <v>107</v>
      </c>
      <c r="C12" s="203"/>
      <c r="D12" s="203"/>
      <c r="E12" s="204"/>
      <c r="F12" s="205"/>
      <c r="G12" s="205"/>
      <c r="H12" s="218">
        <f>+H13</f>
        <v>5</v>
      </c>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row>
    <row r="13" spans="1:65" s="207" customFormat="1" ht="20.25" customHeight="1">
      <c r="A13" s="201"/>
      <c r="B13" s="219"/>
      <c r="C13" s="203"/>
      <c r="D13" s="203"/>
      <c r="E13" s="204">
        <v>0</v>
      </c>
      <c r="F13" s="205">
        <f>IF(E13=1,H13,0)</f>
        <v>0</v>
      </c>
      <c r="G13" s="205">
        <f>+($C$4/100)*(F13/$H$29)</f>
        <v>0</v>
      </c>
      <c r="H13" s="211">
        <v>5</v>
      </c>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row>
    <row r="14" spans="1:65" s="207" customFormat="1" ht="20.25" customHeight="1">
      <c r="A14" s="201"/>
      <c r="B14" s="219"/>
      <c r="C14" s="203"/>
      <c r="D14" s="203"/>
      <c r="E14" s="204"/>
      <c r="F14" s="205">
        <f>IF(E13=2,H14,0)</f>
        <v>0</v>
      </c>
      <c r="G14" s="205">
        <f>+($C$4/100)*(F14/$H$29)</f>
        <v>0</v>
      </c>
      <c r="H14" s="211">
        <v>0</v>
      </c>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row>
    <row r="15" spans="1:65" s="207" customFormat="1" ht="12.75">
      <c r="A15" s="201"/>
      <c r="B15" s="219"/>
      <c r="C15" s="203"/>
      <c r="D15" s="203"/>
      <c r="E15" s="204"/>
      <c r="F15" s="205"/>
      <c r="G15" s="205">
        <f>SUM(G13:G14)</f>
        <v>0</v>
      </c>
      <c r="H15" s="218"/>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row>
    <row r="16" spans="1:65" s="207" customFormat="1" ht="14.25" customHeight="1">
      <c r="A16" s="201"/>
      <c r="B16" s="219"/>
      <c r="C16" s="203"/>
      <c r="D16" s="203"/>
      <c r="E16" s="204"/>
      <c r="F16" s="205"/>
      <c r="G16" s="205"/>
      <c r="H16" s="218"/>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row>
    <row r="17" spans="1:65" s="207" customFormat="1" ht="21" customHeight="1">
      <c r="A17" s="201"/>
      <c r="B17" s="220" t="s">
        <v>149</v>
      </c>
      <c r="C17" s="203"/>
      <c r="D17" s="203"/>
      <c r="E17" s="204"/>
      <c r="F17" s="205"/>
      <c r="G17" s="205"/>
      <c r="H17" s="216">
        <f>IF(1a!F11+1a!F12+1a!F13+1a!F14&gt;0,H18,0)</f>
        <v>5</v>
      </c>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row>
    <row r="18" spans="1:65" s="207" customFormat="1" ht="23.25" customHeight="1">
      <c r="A18" s="201"/>
      <c r="B18" s="219"/>
      <c r="C18" s="203"/>
      <c r="D18" s="203"/>
      <c r="E18" s="204">
        <v>0</v>
      </c>
      <c r="F18" s="205">
        <f>IF(E18=1,H18,0)</f>
        <v>0</v>
      </c>
      <c r="G18" s="205">
        <f>+($C$4/100)*(F18/$H$29)</f>
        <v>0</v>
      </c>
      <c r="H18" s="211">
        <v>5</v>
      </c>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row>
    <row r="19" spans="1:65" s="207" customFormat="1" ht="20.25" customHeight="1">
      <c r="A19" s="201"/>
      <c r="B19" s="219"/>
      <c r="C19" s="203"/>
      <c r="D19" s="203"/>
      <c r="E19" s="204"/>
      <c r="F19" s="205">
        <f>IF(E18=2,H19,0)</f>
        <v>0</v>
      </c>
      <c r="G19" s="205">
        <f>+($C$4/100)*(F19/$H$29)</f>
        <v>0</v>
      </c>
      <c r="H19" s="211">
        <v>0</v>
      </c>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row>
    <row r="20" spans="1:65" s="207" customFormat="1" ht="20.25" customHeight="1">
      <c r="A20" s="201"/>
      <c r="B20" s="219"/>
      <c r="C20" s="203"/>
      <c r="D20" s="203"/>
      <c r="E20" s="204"/>
      <c r="F20" s="205">
        <f>IF(E18=3,H20,0)</f>
        <v>0</v>
      </c>
      <c r="G20" s="205">
        <f>+($C$4/100)*(F20/$H$29)</f>
        <v>0</v>
      </c>
      <c r="H20" s="211">
        <v>4</v>
      </c>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row>
    <row r="21" spans="1:65" s="207" customFormat="1" ht="20.25" customHeight="1">
      <c r="A21" s="201"/>
      <c r="B21" s="201"/>
      <c r="C21" s="203"/>
      <c r="D21" s="203"/>
      <c r="E21" s="204"/>
      <c r="F21" s="205"/>
      <c r="G21" s="205">
        <f>SUM(G18:G20)</f>
        <v>0</v>
      </c>
      <c r="H21" s="21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row>
    <row r="22" spans="1:65" s="207" customFormat="1" ht="15" customHeight="1">
      <c r="A22" s="201"/>
      <c r="B22" s="217"/>
      <c r="C22" s="203"/>
      <c r="D22" s="203"/>
      <c r="E22" s="204"/>
      <c r="F22" s="205"/>
      <c r="G22" s="205">
        <f>IF(1a!F11+1a!F12+1a!F13+1a!F14&gt;0,G21,0)</f>
        <v>0</v>
      </c>
      <c r="H22" s="216">
        <f>IF(1a!F11&gt;0,H23,0)</f>
        <v>5</v>
      </c>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row>
    <row r="23" spans="1:65" s="207" customFormat="1" ht="20.25" customHeight="1">
      <c r="A23" s="201"/>
      <c r="B23" s="219"/>
      <c r="C23" s="203"/>
      <c r="D23" s="203"/>
      <c r="E23" s="204">
        <v>0</v>
      </c>
      <c r="F23" s="205">
        <f>IF(E23=1,H23,0)</f>
        <v>0</v>
      </c>
      <c r="G23" s="205">
        <f>+($C$4/100)*(F23/$H$29)</f>
        <v>0</v>
      </c>
      <c r="H23" s="211">
        <v>5</v>
      </c>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row>
    <row r="24" spans="1:65" s="207" customFormat="1" ht="20.25" customHeight="1">
      <c r="A24" s="201"/>
      <c r="B24" s="219"/>
      <c r="C24" s="203"/>
      <c r="D24" s="203"/>
      <c r="E24" s="204"/>
      <c r="F24" s="205">
        <f>IF(E24=2,H24,0)</f>
        <v>0</v>
      </c>
      <c r="G24" s="205">
        <f>+($C$4/100)*(F24/$H$29)</f>
        <v>0</v>
      </c>
      <c r="H24" s="211">
        <v>0</v>
      </c>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row>
    <row r="25" spans="1:65" s="207" customFormat="1" ht="20.25" customHeight="1">
      <c r="A25" s="201"/>
      <c r="B25" s="219"/>
      <c r="C25" s="203"/>
      <c r="D25" s="203"/>
      <c r="E25" s="204"/>
      <c r="F25" s="205">
        <f>IF(E23=3,H25,0)</f>
        <v>0</v>
      </c>
      <c r="G25" s="205">
        <f>+($C$4/100)*(F25/$H$29)</f>
        <v>0</v>
      </c>
      <c r="H25" s="211">
        <v>5</v>
      </c>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row>
    <row r="26" spans="1:65" s="207" customFormat="1" ht="20.25" customHeight="1">
      <c r="A26" s="201"/>
      <c r="B26" s="201"/>
      <c r="C26" s="203"/>
      <c r="D26" s="203"/>
      <c r="E26" s="204"/>
      <c r="F26" s="205">
        <f>IF(E24=4,H26,0)</f>
        <v>0</v>
      </c>
      <c r="G26" s="205">
        <f>SUM(G23:G25)</f>
        <v>0</v>
      </c>
      <c r="H26" s="258">
        <v>0</v>
      </c>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row>
    <row r="27" spans="1:65" s="207" customFormat="1" ht="12.75">
      <c r="A27" s="201"/>
      <c r="B27" s="201"/>
      <c r="C27" s="203"/>
      <c r="D27" s="203"/>
      <c r="E27" s="204"/>
      <c r="F27" s="205"/>
      <c r="G27" s="205">
        <f>IF(1a!F11+1a!F12+1a!F13+1a!F14&gt;0,G26,0)</f>
        <v>0</v>
      </c>
      <c r="H27" s="206"/>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row>
    <row r="28" spans="1:65" s="207" customFormat="1" ht="12.75">
      <c r="A28" s="201"/>
      <c r="B28" s="221" t="s">
        <v>336</v>
      </c>
      <c r="C28" s="203"/>
      <c r="D28" s="203"/>
      <c r="E28" s="204"/>
      <c r="F28" s="205"/>
      <c r="G28" s="205"/>
      <c r="H28" s="206"/>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row>
    <row r="29" spans="1:65" s="207" customFormat="1" ht="12.75" hidden="1">
      <c r="A29" s="181"/>
      <c r="B29" s="222" t="s">
        <v>50</v>
      </c>
      <c r="C29" s="179"/>
      <c r="D29" s="179"/>
      <c r="E29" s="204"/>
      <c r="F29" s="205">
        <f>SUM(F9:F21)</f>
        <v>0</v>
      </c>
      <c r="G29" s="205">
        <f>+G9+G15+G22+G27</f>
        <v>0</v>
      </c>
      <c r="H29" s="223">
        <f>+H8+H12+H17+H22</f>
        <v>25</v>
      </c>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row>
    <row r="30" spans="1:65" s="207" customFormat="1" ht="12.75" hidden="1">
      <c r="A30" s="181"/>
      <c r="B30" s="181"/>
      <c r="C30" s="179"/>
      <c r="D30" s="179"/>
      <c r="E30" s="204"/>
      <c r="H30" s="224"/>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row>
    <row r="31" spans="1:7" ht="12.75" hidden="1">
      <c r="A31" s="183"/>
      <c r="B31" s="187" t="s">
        <v>81</v>
      </c>
      <c r="C31" s="183"/>
      <c r="D31" s="183"/>
      <c r="E31" s="195"/>
      <c r="F31" s="195"/>
      <c r="G31" s="225">
        <f>+G29*100</f>
        <v>0</v>
      </c>
    </row>
  </sheetData>
  <sheetProtection/>
  <mergeCells count="1">
    <mergeCell ref="B6:C6"/>
  </mergeCells>
  <printOptions/>
  <pageMargins left="0.7086614173228347" right="0.7086614173228347" top="0.7480314960629921" bottom="0.7480314960629921" header="0.31496062992125984" footer="0.31496062992125984"/>
  <pageSetup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sheetPr codeName="Ark4"/>
  <dimension ref="A1:AM30"/>
  <sheetViews>
    <sheetView zoomScalePageLayoutView="0" workbookViewId="0" topLeftCell="A5">
      <selection activeCell="A5" sqref="A5"/>
    </sheetView>
  </sheetViews>
  <sheetFormatPr defaultColWidth="9.140625" defaultRowHeight="15"/>
  <cols>
    <col min="1" max="1" width="3.7109375" style="48" customWidth="1"/>
    <col min="2" max="2" width="71.00390625" style="48" customWidth="1"/>
    <col min="3" max="3" width="15.8515625" style="47" customWidth="1"/>
    <col min="4" max="4" width="15.8515625" style="185" hidden="1" customWidth="1"/>
    <col min="5" max="5" width="8.7109375" style="1" hidden="1" customWidth="1"/>
    <col min="6" max="6" width="14.28125" style="3" hidden="1" customWidth="1"/>
    <col min="7" max="7" width="11.57421875" style="4" hidden="1" customWidth="1"/>
    <col min="8" max="39" width="9.140625" style="48" customWidth="1"/>
    <col min="40" max="16384" width="9.140625" style="1" customWidth="1"/>
  </cols>
  <sheetData>
    <row r="1" spans="3:7" s="69" customFormat="1" ht="12.75" hidden="1">
      <c r="C1" s="71"/>
      <c r="D1" s="185"/>
      <c r="F1" s="77"/>
      <c r="G1" s="78"/>
    </row>
    <row r="2" spans="2:7" s="69" customFormat="1" ht="12.75" hidden="1">
      <c r="B2" s="76" t="s">
        <v>47</v>
      </c>
      <c r="C2" s="71"/>
      <c r="D2" s="185"/>
      <c r="F2" s="77"/>
      <c r="G2" s="78"/>
    </row>
    <row r="3" spans="2:7" s="69" customFormat="1" ht="38.25" hidden="1">
      <c r="B3" s="76" t="s">
        <v>53</v>
      </c>
      <c r="C3" s="71"/>
      <c r="D3" s="185"/>
      <c r="F3" s="77"/>
      <c r="G3" s="78"/>
    </row>
    <row r="4" spans="2:7" s="69" customFormat="1" ht="12.75" hidden="1">
      <c r="B4" s="69" t="s">
        <v>1</v>
      </c>
      <c r="C4" s="71">
        <f>+'IPM-point'!E11</f>
        <v>8</v>
      </c>
      <c r="D4" s="185"/>
      <c r="F4" s="77"/>
      <c r="G4" s="78"/>
    </row>
    <row r="5" ht="20.25" customHeight="1"/>
    <row r="6" spans="1:39" s="143" customFormat="1" ht="20.25" customHeight="1">
      <c r="A6" s="142"/>
      <c r="B6" s="287" t="s">
        <v>178</v>
      </c>
      <c r="C6" s="287"/>
      <c r="D6" s="226"/>
      <c r="F6" s="144"/>
      <c r="G6" s="145"/>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row>
    <row r="7" ht="12.75"/>
    <row r="8" spans="2:7" ht="18.75" customHeight="1">
      <c r="B8" s="67"/>
      <c r="E8" s="5" t="s">
        <v>25</v>
      </c>
      <c r="F8" s="14" t="s">
        <v>23</v>
      </c>
      <c r="G8" s="15" t="s">
        <v>21</v>
      </c>
    </row>
    <row r="9" spans="1:39" s="12" customFormat="1" ht="12.75">
      <c r="A9" s="60"/>
      <c r="B9" s="62"/>
      <c r="C9" s="63"/>
      <c r="D9" s="204"/>
      <c r="E9" s="21"/>
      <c r="F9" s="23"/>
      <c r="G9" s="17">
        <f>+G12</f>
        <v>10</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row>
    <row r="10" spans="1:39" s="12" customFormat="1" ht="20.25" customHeight="1">
      <c r="A10" s="60"/>
      <c r="B10" s="64"/>
      <c r="C10" s="63"/>
      <c r="D10" s="204" t="b">
        <v>0</v>
      </c>
      <c r="E10" s="21">
        <f>IF(D10=TRUE,G10,0)</f>
        <v>0</v>
      </c>
      <c r="F10" s="23">
        <f>+($C$4/100)*(E10/$G$27)</f>
        <v>0</v>
      </c>
      <c r="G10" s="20">
        <v>3</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s="12" customFormat="1" ht="20.25" customHeight="1">
      <c r="A11" s="60"/>
      <c r="B11" s="64"/>
      <c r="C11" s="63"/>
      <c r="D11" s="204" t="b">
        <v>0</v>
      </c>
      <c r="E11" s="21">
        <f>IF(D11=TRUE,G11,0)</f>
        <v>0</v>
      </c>
      <c r="F11" s="23">
        <f>+($C$4/100)*(E11/$G$27)</f>
        <v>0</v>
      </c>
      <c r="G11" s="20">
        <v>5</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12" customFormat="1" ht="20.25" customHeight="1">
      <c r="A12" s="60"/>
      <c r="B12" s="64"/>
      <c r="C12" s="63"/>
      <c r="D12" s="204" t="b">
        <v>0</v>
      </c>
      <c r="E12" s="21">
        <f>IF(D12=TRUE,G12,0)</f>
        <v>0</v>
      </c>
      <c r="F12" s="23">
        <f>+($C$4/100)*(E12/$G$27)</f>
        <v>0</v>
      </c>
      <c r="G12" s="20">
        <v>10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s="12" customFormat="1" ht="20.25" customHeight="1">
      <c r="A13" s="60"/>
      <c r="B13" s="64"/>
      <c r="C13" s="63"/>
      <c r="D13" s="204" t="b">
        <v>0</v>
      </c>
      <c r="E13" s="21">
        <f>IF(D13=TRUE,G13,0)</f>
        <v>0</v>
      </c>
      <c r="F13" s="23">
        <f>+($C$4/100)*(E13/$G$27)</f>
        <v>0</v>
      </c>
      <c r="G13" s="20">
        <v>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s="12" customFormat="1" ht="12.75">
      <c r="A14" s="60"/>
      <c r="B14" s="60"/>
      <c r="C14" s="63"/>
      <c r="D14" s="204"/>
      <c r="E14" s="21">
        <f>SUM(E10:E13)</f>
        <v>0</v>
      </c>
      <c r="F14" s="21"/>
      <c r="G14" s="19"/>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39" s="12" customFormat="1" ht="12.75">
      <c r="A15" s="60"/>
      <c r="B15" s="89"/>
      <c r="C15" s="63"/>
      <c r="D15" s="204"/>
      <c r="E15" s="21">
        <f>IF(E14&lt;=G9,E14,G9)</f>
        <v>0</v>
      </c>
      <c r="F15" s="23">
        <f>+($C$4/100)*(E15/$G$27)</f>
        <v>0</v>
      </c>
      <c r="G15" s="17"/>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39" s="12" customFormat="1" ht="12.75">
      <c r="A16" s="60"/>
      <c r="B16" s="60" t="s">
        <v>366</v>
      </c>
      <c r="C16" s="63"/>
      <c r="D16" s="204"/>
      <c r="E16" s="21"/>
      <c r="F16" s="23"/>
      <c r="G16" s="17"/>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row>
    <row r="17" spans="1:39" s="12" customFormat="1" ht="29.25" customHeight="1">
      <c r="A17" s="60"/>
      <c r="B17" s="113"/>
      <c r="C17" s="63"/>
      <c r="D17" s="204"/>
      <c r="E17" s="21"/>
      <c r="F17" s="23"/>
      <c r="G17" s="19">
        <f>IF(E24&gt;0,G18+G19+G20+G22,0)</f>
        <v>0</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12" customFormat="1" ht="20.25" customHeight="1">
      <c r="A18" s="60"/>
      <c r="B18" s="60"/>
      <c r="C18" s="63"/>
      <c r="D18" s="204" t="b">
        <v>0</v>
      </c>
      <c r="E18" s="21">
        <f aca="true" t="shared" si="0" ref="E18:E23">IF(D18=TRUE,G18,0)</f>
        <v>0</v>
      </c>
      <c r="F18" s="23">
        <f aca="true" t="shared" si="1" ref="F18:F23">+($C$4/100)*(E18/$G$27)</f>
        <v>0</v>
      </c>
      <c r="G18" s="20">
        <v>2</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s="12" customFormat="1" ht="20.25" customHeight="1">
      <c r="A19" s="60"/>
      <c r="B19" s="60"/>
      <c r="C19" s="63"/>
      <c r="D19" s="204" t="b">
        <v>0</v>
      </c>
      <c r="E19" s="21">
        <f t="shared" si="0"/>
        <v>0</v>
      </c>
      <c r="F19" s="23">
        <f t="shared" si="1"/>
        <v>0</v>
      </c>
      <c r="G19" s="30">
        <v>1</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39" s="12" customFormat="1" ht="20.25" customHeight="1">
      <c r="A20" s="60"/>
      <c r="B20" s="60"/>
      <c r="C20" s="63"/>
      <c r="D20" s="204" t="b">
        <v>0</v>
      </c>
      <c r="E20" s="21">
        <f t="shared" si="0"/>
        <v>0</v>
      </c>
      <c r="F20" s="23">
        <f t="shared" si="1"/>
        <v>0</v>
      </c>
      <c r="G20" s="30">
        <v>2</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row>
    <row r="21" spans="1:39" s="12" customFormat="1" ht="20.25" customHeight="1">
      <c r="A21" s="60"/>
      <c r="B21" s="60"/>
      <c r="C21" s="63"/>
      <c r="D21" s="204" t="b">
        <v>0</v>
      </c>
      <c r="E21" s="21">
        <f t="shared" si="0"/>
        <v>0</v>
      </c>
      <c r="F21" s="23">
        <f t="shared" si="1"/>
        <v>0</v>
      </c>
      <c r="G21" s="30">
        <v>1</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row>
    <row r="22" spans="1:39" s="12" customFormat="1" ht="20.25" customHeight="1">
      <c r="A22" s="60"/>
      <c r="B22" s="60"/>
      <c r="C22" s="63"/>
      <c r="D22" s="204" t="b">
        <v>0</v>
      </c>
      <c r="E22" s="21">
        <f t="shared" si="0"/>
        <v>0</v>
      </c>
      <c r="F22" s="23">
        <f t="shared" si="1"/>
        <v>0</v>
      </c>
      <c r="G22" s="30">
        <v>5</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spans="1:39" s="12" customFormat="1" ht="20.25" customHeight="1">
      <c r="A23" s="60"/>
      <c r="B23" s="60"/>
      <c r="C23" s="63"/>
      <c r="D23" s="204" t="b">
        <v>0</v>
      </c>
      <c r="E23" s="21">
        <f t="shared" si="0"/>
        <v>0</v>
      </c>
      <c r="F23" s="23">
        <f t="shared" si="1"/>
        <v>0</v>
      </c>
      <c r="G23" s="30">
        <v>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39" s="12" customFormat="1" ht="12.75">
      <c r="A24" s="60"/>
      <c r="B24" s="60"/>
      <c r="C24" s="280"/>
      <c r="D24" s="204"/>
      <c r="E24" s="21">
        <f>SUM(E18:E23)</f>
        <v>0</v>
      </c>
      <c r="F24" s="23"/>
      <c r="G24" s="17"/>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row>
    <row r="25" spans="1:39" s="12" customFormat="1" ht="12.75">
      <c r="A25" s="60"/>
      <c r="B25" s="155" t="s">
        <v>338</v>
      </c>
      <c r="C25" s="63"/>
      <c r="D25" s="204"/>
      <c r="E25" s="21">
        <f>IF(E24&lt;=G17,E24,G17)</f>
        <v>0</v>
      </c>
      <c r="F25" s="23">
        <f>+($C$4/100)*(E25/$G$27)</f>
        <v>0</v>
      </c>
      <c r="G25" s="17"/>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row>
    <row r="26" spans="1:39" s="12" customFormat="1" ht="12.75">
      <c r="A26" s="60"/>
      <c r="B26" s="60"/>
      <c r="C26" s="63"/>
      <c r="D26" s="204"/>
      <c r="E26" s="21"/>
      <c r="F26" s="23"/>
      <c r="G26" s="17"/>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row>
    <row r="27" spans="1:39" s="12" customFormat="1" ht="12.75" hidden="1">
      <c r="A27" s="35"/>
      <c r="B27" s="83" t="s">
        <v>50</v>
      </c>
      <c r="C27" s="70"/>
      <c r="D27" s="204"/>
      <c r="E27" s="21">
        <f>+E15+E24</f>
        <v>0</v>
      </c>
      <c r="F27" s="23">
        <f>+F15+F25</f>
        <v>0</v>
      </c>
      <c r="G27" s="17">
        <f>+G9+G17</f>
        <v>10</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7" ht="12.75" hidden="1">
      <c r="A28" s="69"/>
      <c r="B28" s="69"/>
      <c r="C28" s="71"/>
      <c r="G28" s="26"/>
    </row>
    <row r="29" spans="1:6" ht="12.75" hidden="1">
      <c r="A29" s="69"/>
      <c r="B29" s="76" t="s">
        <v>81</v>
      </c>
      <c r="C29" s="69"/>
      <c r="D29" s="195"/>
      <c r="E29" s="2"/>
      <c r="F29" s="28">
        <f>+F27*100</f>
        <v>0</v>
      </c>
    </row>
    <row r="30" spans="2:6" ht="12.75">
      <c r="B30" s="45"/>
      <c r="C30" s="48"/>
      <c r="D30" s="195"/>
      <c r="E30" s="2"/>
      <c r="F30" s="31"/>
    </row>
    <row r="34" ht="20.25" customHeight="1"/>
    <row r="35" ht="20.25" customHeight="1"/>
    <row r="36" ht="20.25" customHeight="1"/>
    <row r="37" ht="20.25" customHeight="1"/>
    <row r="38" ht="20.25" customHeight="1"/>
  </sheetData>
  <sheetProtection/>
  <mergeCells count="1">
    <mergeCell ref="B6:C6"/>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Ark5"/>
  <dimension ref="A1:AL31"/>
  <sheetViews>
    <sheetView zoomScalePageLayoutView="0" workbookViewId="0" topLeftCell="A5">
      <selection activeCell="A5" sqref="A5"/>
    </sheetView>
  </sheetViews>
  <sheetFormatPr defaultColWidth="9.140625" defaultRowHeight="15"/>
  <cols>
    <col min="1" max="1" width="3.57421875" style="48" customWidth="1"/>
    <col min="2" max="2" width="71.00390625" style="45" customWidth="1"/>
    <col min="3" max="3" width="13.57421875" style="47" customWidth="1"/>
    <col min="4" max="4" width="13.57421875" style="112" hidden="1" customWidth="1"/>
    <col min="5" max="5" width="8.7109375" style="1" hidden="1" customWidth="1"/>
    <col min="6" max="6" width="14.28125" style="3" hidden="1" customWidth="1"/>
    <col min="7" max="7" width="14.8515625" style="4" hidden="1" customWidth="1"/>
    <col min="8" max="38" width="9.140625" style="48" customWidth="1"/>
    <col min="39" max="16384" width="9.140625" style="1" customWidth="1"/>
  </cols>
  <sheetData>
    <row r="1" spans="2:7" s="69" customFormat="1" ht="12.75" hidden="1">
      <c r="B1" s="76"/>
      <c r="C1" s="71"/>
      <c r="D1" s="112"/>
      <c r="F1" s="77"/>
      <c r="G1" s="78"/>
    </row>
    <row r="2" spans="2:7" s="69" customFormat="1" ht="12.75" hidden="1">
      <c r="B2" s="76" t="s">
        <v>47</v>
      </c>
      <c r="C2" s="71"/>
      <c r="D2" s="112"/>
      <c r="F2" s="77"/>
      <c r="G2" s="78"/>
    </row>
    <row r="3" spans="2:7" s="69" customFormat="1" ht="25.5" hidden="1">
      <c r="B3" s="76" t="s">
        <v>54</v>
      </c>
      <c r="C3" s="71"/>
      <c r="D3" s="112"/>
      <c r="F3" s="77"/>
      <c r="G3" s="78"/>
    </row>
    <row r="4" spans="2:7" s="69" customFormat="1" ht="12.75" hidden="1">
      <c r="B4" s="76" t="s">
        <v>1</v>
      </c>
      <c r="C4" s="71">
        <f>+'IPM-point'!E12</f>
        <v>2</v>
      </c>
      <c r="D4" s="112"/>
      <c r="F4" s="77"/>
      <c r="G4" s="78"/>
    </row>
    <row r="5" ht="20.25" customHeight="1"/>
    <row r="6" spans="2:4" ht="20.25" customHeight="1">
      <c r="B6" s="284" t="s">
        <v>179</v>
      </c>
      <c r="C6" s="284"/>
      <c r="D6" s="114"/>
    </row>
    <row r="7" ht="12.75"/>
    <row r="8" spans="1:38" s="7" customFormat="1" ht="25.5">
      <c r="A8" s="60"/>
      <c r="B8" s="59" t="s">
        <v>117</v>
      </c>
      <c r="C8" s="175"/>
      <c r="D8" s="115"/>
      <c r="E8" s="5" t="s">
        <v>25</v>
      </c>
      <c r="F8" s="14" t="s">
        <v>23</v>
      </c>
      <c r="G8" s="15" t="s">
        <v>21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row>
    <row r="9" spans="1:38" s="7" customFormat="1" ht="12.75">
      <c r="A9" s="60"/>
      <c r="B9" s="60"/>
      <c r="C9" s="63"/>
      <c r="D9" s="111"/>
      <c r="E9" s="32"/>
      <c r="F9" s="21"/>
      <c r="G9" s="17"/>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row>
    <row r="10" spans="1:38" s="7" customFormat="1" ht="12.75">
      <c r="A10" s="60"/>
      <c r="B10" s="66" t="s">
        <v>116</v>
      </c>
      <c r="C10" s="63"/>
      <c r="D10" s="111"/>
      <c r="E10" s="32"/>
      <c r="F10" s="21"/>
      <c r="G10" s="2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row>
    <row r="11" spans="1:38" s="7" customFormat="1" ht="12.75">
      <c r="A11" s="60"/>
      <c r="B11" s="89"/>
      <c r="C11" s="63"/>
      <c r="D11" s="111"/>
      <c r="E11" s="32"/>
      <c r="F11" s="21"/>
      <c r="G11" s="17">
        <f>IF(1a!F11+1a!F12+1a!F13+1a!F14&gt;0,G12,0)</f>
        <v>10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row>
    <row r="12" spans="1:38" s="7" customFormat="1" ht="20.25" customHeight="1">
      <c r="A12" s="60"/>
      <c r="B12" s="64"/>
      <c r="C12" s="63"/>
      <c r="D12" s="111">
        <v>0</v>
      </c>
      <c r="E12" s="21">
        <f>IF(D12=1,G12,0)</f>
        <v>0</v>
      </c>
      <c r="F12" s="23">
        <f>+($C$4/100)*(E12/$G$23)</f>
        <v>0</v>
      </c>
      <c r="G12" s="20">
        <v>10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row>
    <row r="13" spans="1:38" s="7" customFormat="1" ht="20.25" customHeight="1">
      <c r="A13" s="60"/>
      <c r="B13" s="64"/>
      <c r="C13" s="63"/>
      <c r="D13" s="111"/>
      <c r="E13" s="21">
        <f>IF(D12=21,G13,0)</f>
        <v>0</v>
      </c>
      <c r="F13" s="23">
        <f>+($C$4/100)*(E13/$G$23)</f>
        <v>0</v>
      </c>
      <c r="G13" s="20">
        <v>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row>
    <row r="14" spans="1:38" s="7" customFormat="1" ht="20.25" customHeight="1">
      <c r="A14" s="60"/>
      <c r="B14" s="64"/>
      <c r="C14" s="63"/>
      <c r="D14" s="111"/>
      <c r="E14" s="21">
        <f>IF(D12=3,G14,0)</f>
        <v>0</v>
      </c>
      <c r="F14" s="23">
        <f>+($C$4/100)*(E14/$G$23)</f>
        <v>0</v>
      </c>
      <c r="G14" s="20">
        <v>10</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s="7" customFormat="1" ht="12.75">
      <c r="A15" s="60"/>
      <c r="B15" s="64"/>
      <c r="C15" s="63"/>
      <c r="D15" s="111"/>
      <c r="E15" s="21"/>
      <c r="F15" s="23">
        <f>SUM(F12:F14)</f>
        <v>0</v>
      </c>
      <c r="G15" s="19"/>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38" s="7" customFormat="1" ht="12.75">
      <c r="A16" s="60"/>
      <c r="B16" s="64"/>
      <c r="C16" s="63"/>
      <c r="D16" s="111"/>
      <c r="E16" s="21"/>
      <c r="F16" s="23">
        <f>IF(1a!F11+1a!F12+1a!F13+1a!F14&gt;0,F15,0)</f>
        <v>0</v>
      </c>
      <c r="G16" s="19"/>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38" s="7" customFormat="1" ht="12.75">
      <c r="A17" s="60"/>
      <c r="B17" s="64" t="s">
        <v>115</v>
      </c>
      <c r="C17" s="63"/>
      <c r="D17" s="111"/>
      <c r="E17" s="21"/>
      <c r="F17" s="23"/>
      <c r="G17" s="19"/>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row>
    <row r="18" spans="1:38" s="7" customFormat="1" ht="12.75">
      <c r="A18" s="60"/>
      <c r="B18" s="65"/>
      <c r="C18" s="63"/>
      <c r="D18" s="111"/>
      <c r="E18" s="21"/>
      <c r="F18" s="23"/>
      <c r="G18" s="19">
        <f>IF(1a!G16+1a!G17+1a!G18&gt;0,G19,0)</f>
        <v>0</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row>
    <row r="19" spans="1:38" s="7" customFormat="1" ht="20.25" customHeight="1">
      <c r="A19" s="60"/>
      <c r="B19" s="60"/>
      <c r="C19" s="63"/>
      <c r="D19" s="111">
        <v>0</v>
      </c>
      <c r="E19" s="21">
        <f>IF(D19=1,G19,0)</f>
        <v>0</v>
      </c>
      <c r="F19" s="23">
        <f>+($C$4/100)*(E19/$G$23)</f>
        <v>0</v>
      </c>
      <c r="G19" s="20">
        <v>10</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row>
    <row r="20" spans="1:38" s="7" customFormat="1" ht="20.25" customHeight="1">
      <c r="A20" s="60"/>
      <c r="B20" s="60"/>
      <c r="C20" s="63"/>
      <c r="D20" s="111"/>
      <c r="E20" s="21">
        <f>IF(D19=2,G20,0)</f>
        <v>0</v>
      </c>
      <c r="F20" s="23">
        <f>+($C$4/100)*(E20/$G$23)</f>
        <v>0</v>
      </c>
      <c r="G20" s="20">
        <v>8</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row>
    <row r="21" spans="1:38" s="7" customFormat="1" ht="20.25" customHeight="1">
      <c r="A21" s="60"/>
      <c r="B21" s="64"/>
      <c r="C21" s="63"/>
      <c r="D21" s="111"/>
      <c r="E21" s="21">
        <f>IF(D19=3,G21,0)</f>
        <v>0</v>
      </c>
      <c r="F21" s="23">
        <f>+($C$4/100)*(E21/$G$23)</f>
        <v>0</v>
      </c>
      <c r="G21" s="20">
        <v>0</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1:38" s="7" customFormat="1" ht="12.75">
      <c r="A22" s="60"/>
      <c r="B22" s="64"/>
      <c r="C22" s="63"/>
      <c r="D22" s="111"/>
      <c r="E22" s="21"/>
      <c r="F22" s="23">
        <f>SUM(F19:F21)</f>
        <v>0</v>
      </c>
      <c r="G22" s="19"/>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38" s="7" customFormat="1" ht="12.75" hidden="1">
      <c r="A23" s="35"/>
      <c r="C23" s="70"/>
      <c r="D23" s="111"/>
      <c r="E23" s="21"/>
      <c r="F23" s="23">
        <f>IF(1a!G16+1a!G17+1a!G18&gt;0,F22,0)</f>
        <v>0</v>
      </c>
      <c r="G23" s="17">
        <f>+G11+G18</f>
        <v>10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row>
    <row r="24" spans="1:38" s="7" customFormat="1" ht="12.75" hidden="1">
      <c r="A24" s="35"/>
      <c r="B24" s="83" t="s">
        <v>50</v>
      </c>
      <c r="C24" s="70"/>
      <c r="D24" s="111"/>
      <c r="E24" s="21"/>
      <c r="F24" s="23">
        <f>+F16+F23</f>
        <v>0</v>
      </c>
      <c r="G24" s="17"/>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row>
    <row r="25" spans="1:38" s="7" customFormat="1" ht="12.75" hidden="1">
      <c r="A25" s="35"/>
      <c r="B25" s="83"/>
      <c r="C25" s="70"/>
      <c r="D25" s="111"/>
      <c r="F25" s="24"/>
      <c r="G25" s="16"/>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row>
    <row r="26" spans="1:7" ht="12.75" hidden="1">
      <c r="A26" s="69"/>
      <c r="B26" s="76" t="s">
        <v>81</v>
      </c>
      <c r="C26" s="69"/>
      <c r="D26" s="2"/>
      <c r="E26" s="2"/>
      <c r="F26" s="28">
        <f>+F24*100</f>
        <v>0</v>
      </c>
      <c r="G26" s="26"/>
    </row>
    <row r="27" spans="2:7" ht="12.75">
      <c r="B27" s="154" t="s">
        <v>339</v>
      </c>
      <c r="C27" s="63"/>
      <c r="D27" s="111"/>
      <c r="E27" s="12"/>
      <c r="F27" s="25"/>
      <c r="G27" s="26"/>
    </row>
    <row r="28" spans="2:7" ht="12.75">
      <c r="B28" s="64"/>
      <c r="C28" s="63"/>
      <c r="D28" s="111"/>
      <c r="E28" s="12"/>
      <c r="F28" s="25"/>
      <c r="G28" s="26"/>
    </row>
    <row r="29" spans="2:7" ht="12.75">
      <c r="B29" s="64"/>
      <c r="C29" s="63"/>
      <c r="D29" s="111"/>
      <c r="E29" s="12"/>
      <c r="F29" s="25"/>
      <c r="G29" s="26"/>
    </row>
    <row r="30" spans="2:7" ht="12.75">
      <c r="B30" s="64"/>
      <c r="C30" s="63"/>
      <c r="D30" s="111"/>
      <c r="E30" s="12"/>
      <c r="F30" s="25"/>
      <c r="G30" s="26"/>
    </row>
    <row r="31" spans="2:7" ht="12.75">
      <c r="B31" s="64"/>
      <c r="C31" s="63"/>
      <c r="D31" s="111"/>
      <c r="E31" s="12"/>
      <c r="F31" s="25"/>
      <c r="G31" s="26"/>
    </row>
  </sheetData>
  <sheetProtection/>
  <mergeCells count="1">
    <mergeCell ref="B6:C6"/>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Ark6"/>
  <dimension ref="A1:H29"/>
  <sheetViews>
    <sheetView zoomScalePageLayoutView="0" workbookViewId="0" topLeftCell="A5">
      <selection activeCell="A5" sqref="A5"/>
    </sheetView>
  </sheetViews>
  <sheetFormatPr defaultColWidth="9.140625" defaultRowHeight="15"/>
  <cols>
    <col min="1" max="1" width="3.57421875" style="48" customWidth="1"/>
    <col min="2" max="2" width="84.57421875" style="48" customWidth="1"/>
    <col min="3" max="3" width="10.7109375" style="48" customWidth="1"/>
    <col min="4" max="4" width="6.140625" style="48" customWidth="1"/>
    <col min="5" max="5" width="10.7109375" style="2" hidden="1" customWidth="1"/>
    <col min="6" max="6" width="8.7109375" style="1" hidden="1" customWidth="1"/>
    <col min="7" max="7" width="14.28125" style="3" hidden="1" customWidth="1"/>
    <col min="8" max="8" width="9.57421875" style="4" hidden="1" customWidth="1"/>
    <col min="9" max="40" width="9.140625" style="48" customWidth="1"/>
    <col min="41" max="16384" width="9.140625" style="1" customWidth="1"/>
  </cols>
  <sheetData>
    <row r="1" spans="5:8" s="69" customFormat="1" ht="12.75" hidden="1">
      <c r="E1" s="2"/>
      <c r="G1" s="77"/>
      <c r="H1" s="78"/>
    </row>
    <row r="2" spans="2:8" s="69" customFormat="1" ht="12.75" hidden="1">
      <c r="B2" s="76" t="s">
        <v>47</v>
      </c>
      <c r="E2" s="2"/>
      <c r="G2" s="77"/>
      <c r="H2" s="78"/>
    </row>
    <row r="3" spans="2:8" s="69" customFormat="1" ht="25.5" hidden="1">
      <c r="B3" s="76" t="s">
        <v>55</v>
      </c>
      <c r="E3" s="2"/>
      <c r="G3" s="77"/>
      <c r="H3" s="78"/>
    </row>
    <row r="4" spans="2:8" s="69" customFormat="1" ht="12.75" hidden="1">
      <c r="B4" s="69" t="s">
        <v>1</v>
      </c>
      <c r="C4" s="69">
        <f>+'IPM-point'!E13</f>
        <v>3</v>
      </c>
      <c r="E4" s="2"/>
      <c r="G4" s="77"/>
      <c r="H4" s="78"/>
    </row>
    <row r="5" ht="20.25" customHeight="1"/>
    <row r="6" spans="2:4" ht="20.25" customHeight="1">
      <c r="B6" s="287" t="s">
        <v>180</v>
      </c>
      <c r="C6" s="287"/>
      <c r="D6" s="108"/>
    </row>
    <row r="7" ht="12.75"/>
    <row r="8" spans="2:5" ht="18.75" customHeight="1">
      <c r="B8" s="59" t="s">
        <v>118</v>
      </c>
      <c r="C8" s="59"/>
      <c r="E8" s="120"/>
    </row>
    <row r="9" spans="1:8" ht="25.5">
      <c r="A9" s="60"/>
      <c r="B9" s="67"/>
      <c r="C9" s="60"/>
      <c r="D9" s="60"/>
      <c r="E9" s="7"/>
      <c r="F9" s="90" t="s">
        <v>25</v>
      </c>
      <c r="G9" s="14" t="s">
        <v>23</v>
      </c>
      <c r="H9" s="15" t="s">
        <v>21</v>
      </c>
    </row>
    <row r="10" spans="1:8" ht="12.75">
      <c r="A10" s="60"/>
      <c r="B10" s="89"/>
      <c r="C10" s="60"/>
      <c r="D10" s="60"/>
      <c r="E10" s="7"/>
      <c r="F10" s="21"/>
      <c r="G10" s="23"/>
      <c r="H10" s="17">
        <f>+H11+H13+H14+H15</f>
        <v>23</v>
      </c>
    </row>
    <row r="11" spans="1:8" ht="20.25" customHeight="1">
      <c r="A11" s="60"/>
      <c r="B11" s="64"/>
      <c r="C11" s="63"/>
      <c r="D11" s="63"/>
      <c r="E11" s="204" t="b">
        <v>0</v>
      </c>
      <c r="F11" s="21">
        <f aca="true" t="shared" si="0" ref="F11:F16">IF(E11=TRUE,H11,0)</f>
        <v>0</v>
      </c>
      <c r="G11" s="23">
        <f aca="true" t="shared" si="1" ref="G11:G16">+($C$4/100)*(F11/$H$21)</f>
        <v>0</v>
      </c>
      <c r="H11" s="20">
        <v>10</v>
      </c>
    </row>
    <row r="12" spans="1:8" ht="20.25" customHeight="1">
      <c r="A12" s="60"/>
      <c r="B12" s="64"/>
      <c r="C12" s="63"/>
      <c r="D12" s="63"/>
      <c r="E12" s="204" t="b">
        <v>0</v>
      </c>
      <c r="F12" s="21">
        <f t="shared" si="0"/>
        <v>0</v>
      </c>
      <c r="G12" s="23">
        <f t="shared" si="1"/>
        <v>0</v>
      </c>
      <c r="H12" s="20">
        <v>5</v>
      </c>
    </row>
    <row r="13" spans="1:8" ht="20.25" customHeight="1">
      <c r="A13" s="60"/>
      <c r="B13" s="64"/>
      <c r="C13" s="63"/>
      <c r="D13" s="63"/>
      <c r="E13" s="204" t="b">
        <v>0</v>
      </c>
      <c r="F13" s="21">
        <f t="shared" si="0"/>
        <v>0</v>
      </c>
      <c r="G13" s="23">
        <f t="shared" si="1"/>
        <v>0</v>
      </c>
      <c r="H13" s="20">
        <v>5</v>
      </c>
    </row>
    <row r="14" spans="1:8" ht="20.25" customHeight="1">
      <c r="A14" s="60"/>
      <c r="B14" s="64"/>
      <c r="C14" s="63"/>
      <c r="D14" s="63"/>
      <c r="E14" s="204" t="b">
        <v>0</v>
      </c>
      <c r="F14" s="21">
        <f t="shared" si="0"/>
        <v>0</v>
      </c>
      <c r="G14" s="23">
        <f t="shared" si="1"/>
        <v>0</v>
      </c>
      <c r="H14" s="20">
        <v>3</v>
      </c>
    </row>
    <row r="15" spans="1:8" ht="20.25" customHeight="1">
      <c r="A15" s="60"/>
      <c r="B15" s="64"/>
      <c r="C15" s="63"/>
      <c r="D15" s="63"/>
      <c r="E15" s="204" t="b">
        <v>0</v>
      </c>
      <c r="F15" s="21">
        <f t="shared" si="0"/>
        <v>0</v>
      </c>
      <c r="G15" s="23">
        <f t="shared" si="1"/>
        <v>0</v>
      </c>
      <c r="H15" s="20">
        <v>5</v>
      </c>
    </row>
    <row r="16" spans="1:8" ht="20.25" customHeight="1">
      <c r="A16" s="60"/>
      <c r="B16" s="64"/>
      <c r="C16" s="63"/>
      <c r="D16" s="63"/>
      <c r="E16" s="204" t="b">
        <v>0</v>
      </c>
      <c r="F16" s="21">
        <f t="shared" si="0"/>
        <v>0</v>
      </c>
      <c r="G16" s="23">
        <f t="shared" si="1"/>
        <v>0</v>
      </c>
      <c r="H16" s="20">
        <v>0</v>
      </c>
    </row>
    <row r="17" spans="1:8" ht="18" customHeight="1">
      <c r="A17" s="60"/>
      <c r="B17" s="64"/>
      <c r="C17" s="60"/>
      <c r="D17" s="60"/>
      <c r="E17" s="7"/>
      <c r="F17" s="21"/>
      <c r="G17" s="23"/>
      <c r="H17" s="20"/>
    </row>
    <row r="18" spans="2:8" ht="47.25" customHeight="1">
      <c r="B18" s="177" t="s">
        <v>112</v>
      </c>
      <c r="C18" s="109" t="s">
        <v>114</v>
      </c>
      <c r="D18" s="63"/>
      <c r="E18" s="111"/>
      <c r="F18" s="21"/>
      <c r="G18" s="23"/>
      <c r="H18" s="19">
        <f>+H19</f>
        <v>10</v>
      </c>
    </row>
    <row r="19" spans="2:8" ht="43.5" customHeight="1">
      <c r="B19" s="49" t="s">
        <v>189</v>
      </c>
      <c r="C19" s="227">
        <v>0</v>
      </c>
      <c r="D19" s="63"/>
      <c r="E19" s="111"/>
      <c r="F19" s="21">
        <f>+C19</f>
        <v>0</v>
      </c>
      <c r="G19" s="23">
        <f>+($C$4/100)*(F19/$H$21)</f>
        <v>0</v>
      </c>
      <c r="H19" s="33">
        <v>10</v>
      </c>
    </row>
    <row r="20" spans="2:8" ht="12.75">
      <c r="B20" s="64"/>
      <c r="C20" s="63"/>
      <c r="D20" s="63"/>
      <c r="E20" s="111"/>
      <c r="F20" s="21"/>
      <c r="G20" s="23"/>
      <c r="H20" s="33"/>
    </row>
    <row r="21" spans="1:8" ht="12.75" hidden="1">
      <c r="A21" s="69"/>
      <c r="B21" s="83" t="s">
        <v>50</v>
      </c>
      <c r="C21" s="60"/>
      <c r="D21" s="60"/>
      <c r="E21" s="7"/>
      <c r="F21" s="21">
        <f>SUM(F11:F16)</f>
        <v>0</v>
      </c>
      <c r="G21" s="23">
        <f>SUM(G11:G20)</f>
        <v>0</v>
      </c>
      <c r="H21" s="17">
        <f>+H10+H18</f>
        <v>33</v>
      </c>
    </row>
    <row r="22" spans="1:8" ht="12.75" hidden="1">
      <c r="A22" s="69"/>
      <c r="B22" s="35"/>
      <c r="C22" s="60"/>
      <c r="D22" s="60"/>
      <c r="E22" s="7"/>
      <c r="F22" s="12"/>
      <c r="G22" s="25"/>
      <c r="H22" s="26"/>
    </row>
    <row r="23" spans="1:8" ht="12.75" hidden="1">
      <c r="A23" s="69"/>
      <c r="B23" s="76" t="s">
        <v>81</v>
      </c>
      <c r="F23" s="2"/>
      <c r="G23" s="28">
        <f>IF(G21&gt;C4/100,C4,G21*100)</f>
        <v>0</v>
      </c>
      <c r="H23" s="26"/>
    </row>
    <row r="24" spans="2:8" ht="12.75">
      <c r="B24" s="155" t="s">
        <v>340</v>
      </c>
      <c r="C24" s="60"/>
      <c r="D24" s="60"/>
      <c r="E24" s="7"/>
      <c r="F24" s="12"/>
      <c r="G24" s="25"/>
      <c r="H24" s="26"/>
    </row>
    <row r="25" spans="2:8" ht="12.75">
      <c r="B25" s="60"/>
      <c r="C25" s="60"/>
      <c r="D25" s="60"/>
      <c r="E25" s="7"/>
      <c r="F25" s="12"/>
      <c r="G25" s="25"/>
      <c r="H25" s="26"/>
    </row>
    <row r="26" spans="2:8" ht="12.75">
      <c r="B26" s="60"/>
      <c r="C26" s="60"/>
      <c r="D26" s="60"/>
      <c r="E26" s="7"/>
      <c r="F26" s="12"/>
      <c r="G26" s="25"/>
      <c r="H26" s="26"/>
    </row>
    <row r="27" spans="2:8" ht="12.75">
      <c r="B27" s="60"/>
      <c r="C27" s="60"/>
      <c r="D27" s="60"/>
      <c r="E27" s="7"/>
      <c r="F27" s="12"/>
      <c r="G27" s="25"/>
      <c r="H27" s="26"/>
    </row>
    <row r="28" spans="2:8" ht="12.75">
      <c r="B28" s="60"/>
      <c r="C28" s="60"/>
      <c r="D28" s="60"/>
      <c r="E28" s="7"/>
      <c r="F28" s="12"/>
      <c r="G28" s="25"/>
      <c r="H28" s="26"/>
    </row>
    <row r="29" spans="2:8" ht="12.75">
      <c r="B29" s="60"/>
      <c r="C29" s="60"/>
      <c r="D29" s="60"/>
      <c r="E29" s="7"/>
      <c r="F29" s="12"/>
      <c r="G29" s="25"/>
      <c r="H29" s="26"/>
    </row>
  </sheetData>
  <sheetProtection/>
  <mergeCells count="1">
    <mergeCell ref="B6:C6"/>
  </mergeCells>
  <printOptions/>
  <pageMargins left="0.7086614173228347" right="0.31496062992125984" top="0.7480314960629921" bottom="0.7480314960629921" header="0.31496062992125984" footer="0.31496062992125984"/>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codeName="Ark7"/>
  <dimension ref="A1:AH45"/>
  <sheetViews>
    <sheetView zoomScalePageLayoutView="0" workbookViewId="0" topLeftCell="A5">
      <selection activeCell="A5" sqref="A5"/>
    </sheetView>
  </sheetViews>
  <sheetFormatPr defaultColWidth="9.140625" defaultRowHeight="15"/>
  <cols>
    <col min="1" max="1" width="3.421875" style="48" customWidth="1"/>
    <col min="2" max="2" width="69.7109375" style="45" customWidth="1"/>
    <col min="3" max="3" width="17.57421875" style="47" customWidth="1"/>
    <col min="4" max="4" width="10.28125" style="112" hidden="1" customWidth="1"/>
    <col min="5" max="5" width="8.7109375" style="1" hidden="1" customWidth="1"/>
    <col min="6" max="6" width="14.28125" style="3" hidden="1" customWidth="1"/>
    <col min="7" max="7" width="11.421875" style="4" hidden="1" customWidth="1"/>
    <col min="8" max="8" width="11.421875" style="11" hidden="1" customWidth="1"/>
    <col min="9" max="34" width="9.140625" style="48" customWidth="1"/>
    <col min="35" max="16384" width="9.140625" style="1" customWidth="1"/>
  </cols>
  <sheetData>
    <row r="1" spans="2:8" s="69" customFormat="1" ht="12.75" hidden="1">
      <c r="B1" s="76"/>
      <c r="C1" s="71"/>
      <c r="D1" s="112"/>
      <c r="F1" s="77"/>
      <c r="G1" s="78"/>
      <c r="H1" s="11"/>
    </row>
    <row r="2" spans="2:8" s="69" customFormat="1" ht="12.75" hidden="1">
      <c r="B2" s="76" t="s">
        <v>47</v>
      </c>
      <c r="C2" s="71"/>
      <c r="D2" s="112"/>
      <c r="F2" s="77"/>
      <c r="G2" s="78"/>
      <c r="H2" s="11"/>
    </row>
    <row r="3" spans="2:8" s="69" customFormat="1" ht="38.25" hidden="1">
      <c r="B3" s="76" t="s">
        <v>56</v>
      </c>
      <c r="C3" s="71"/>
      <c r="D3" s="112"/>
      <c r="F3" s="77"/>
      <c r="G3" s="78"/>
      <c r="H3" s="11"/>
    </row>
    <row r="4" spans="2:8" s="69" customFormat="1" ht="12.75" hidden="1">
      <c r="B4" s="76" t="s">
        <v>1</v>
      </c>
      <c r="C4" s="71">
        <f>+'IPM-point'!E14</f>
        <v>3</v>
      </c>
      <c r="D4" s="112"/>
      <c r="F4" s="77"/>
      <c r="G4" s="78"/>
      <c r="H4" s="11"/>
    </row>
    <row r="5" ht="20.25" customHeight="1"/>
    <row r="6" spans="2:4" ht="20.25" customHeight="1">
      <c r="B6" s="284" t="s">
        <v>181</v>
      </c>
      <c r="C6" s="284"/>
      <c r="D6" s="114"/>
    </row>
    <row r="7" spans="2:3" ht="12.75">
      <c r="B7" s="64"/>
      <c r="C7" s="63"/>
    </row>
    <row r="8" spans="2:8" ht="25.5">
      <c r="B8" s="122"/>
      <c r="C8" s="63"/>
      <c r="D8" s="111"/>
      <c r="E8" s="5" t="s">
        <v>25</v>
      </c>
      <c r="F8" s="14" t="s">
        <v>23</v>
      </c>
      <c r="G8" s="15" t="s">
        <v>21</v>
      </c>
      <c r="H8" s="16"/>
    </row>
    <row r="9" spans="1:34" s="7" customFormat="1" ht="20.25" customHeight="1">
      <c r="A9" s="60"/>
      <c r="B9" s="64"/>
      <c r="C9" s="63"/>
      <c r="D9" s="111" t="b">
        <v>0</v>
      </c>
      <c r="E9" s="21">
        <f>IF(D9=TRUE,G9,0)</f>
        <v>0</v>
      </c>
      <c r="F9" s="23">
        <f>+($C$4/100)*(E9/$G$42)</f>
        <v>0</v>
      </c>
      <c r="G9" s="34">
        <v>6</v>
      </c>
      <c r="H9" s="121"/>
      <c r="I9" s="60"/>
      <c r="J9" s="60"/>
      <c r="K9" s="60"/>
      <c r="L9" s="60"/>
      <c r="M9" s="60"/>
      <c r="N9" s="60"/>
      <c r="O9" s="60"/>
      <c r="P9" s="60"/>
      <c r="Q9" s="60"/>
      <c r="R9" s="60"/>
      <c r="S9" s="60"/>
      <c r="T9" s="60"/>
      <c r="U9" s="60"/>
      <c r="V9" s="60"/>
      <c r="W9" s="60"/>
      <c r="X9" s="60"/>
      <c r="Y9" s="60"/>
      <c r="Z9" s="60"/>
      <c r="AA9" s="60"/>
      <c r="AB9" s="60"/>
      <c r="AC9" s="60"/>
      <c r="AD9" s="60"/>
      <c r="AE9" s="60"/>
      <c r="AF9" s="60"/>
      <c r="AG9" s="60"/>
      <c r="AH9" s="60"/>
    </row>
    <row r="10" spans="1:34" s="7" customFormat="1" ht="20.25" customHeight="1">
      <c r="A10" s="60"/>
      <c r="B10" s="64"/>
      <c r="C10" s="63"/>
      <c r="D10" s="111" t="b">
        <v>0</v>
      </c>
      <c r="E10" s="21">
        <f>IF(D10=TRUE,G10,0)</f>
        <v>0</v>
      </c>
      <c r="F10" s="23">
        <f>+($C$4/100)*(E10/$G$42)</f>
        <v>0</v>
      </c>
      <c r="G10" s="34">
        <v>4</v>
      </c>
      <c r="H10" s="121"/>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spans="1:34" s="7" customFormat="1" ht="20.25" customHeight="1">
      <c r="A11" s="60"/>
      <c r="B11" s="64"/>
      <c r="C11" s="63"/>
      <c r="D11" s="111" t="b">
        <v>0</v>
      </c>
      <c r="E11" s="21">
        <f>IF(D11=TRUE,G11,0)</f>
        <v>0</v>
      </c>
      <c r="F11" s="23">
        <f>+($C$4/100)*(E11/$G$42)</f>
        <v>0</v>
      </c>
      <c r="G11" s="34">
        <v>4</v>
      </c>
      <c r="H11" s="121"/>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row>
    <row r="12" spans="1:34" s="7" customFormat="1" ht="12.75">
      <c r="A12" s="60"/>
      <c r="B12" s="65"/>
      <c r="C12" s="63"/>
      <c r="D12" s="111"/>
      <c r="E12" s="21"/>
      <c r="F12" s="23">
        <f>SUM(F9:F11)</f>
        <v>0</v>
      </c>
      <c r="G12" s="17">
        <f>SUM(G9:G11)</f>
        <v>14</v>
      </c>
      <c r="H12" s="23">
        <f>+($C$4/100)*(G12/$G$42)</f>
        <v>0.012352941176470587</v>
      </c>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row>
    <row r="13" spans="1:34" s="7" customFormat="1" ht="19.5" customHeight="1">
      <c r="A13" s="60"/>
      <c r="B13" s="65"/>
      <c r="C13" s="63"/>
      <c r="D13" s="111"/>
      <c r="E13" s="21"/>
      <c r="F13" s="23"/>
      <c r="G13" s="17"/>
      <c r="H13" s="16"/>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row>
    <row r="14" spans="1:34" s="7" customFormat="1" ht="18" customHeight="1">
      <c r="A14" s="60"/>
      <c r="B14" s="65"/>
      <c r="C14" s="63"/>
      <c r="D14" s="111"/>
      <c r="E14" s="21"/>
      <c r="F14" s="23"/>
      <c r="G14" s="17">
        <f>SUM(G15:G16)</f>
        <v>10</v>
      </c>
      <c r="H14" s="23">
        <f>+($C$4/100)*(G14/$G$42)</f>
        <v>0.008823529411764706</v>
      </c>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row>
    <row r="15" spans="1:34" s="7" customFormat="1" ht="19.5" customHeight="1">
      <c r="A15" s="60"/>
      <c r="B15" s="64"/>
      <c r="C15" s="63"/>
      <c r="D15" s="111" t="b">
        <v>0</v>
      </c>
      <c r="E15" s="21">
        <f>IF(D15=TRUE,G15,0)</f>
        <v>0</v>
      </c>
      <c r="F15" s="23">
        <f>+($C$4/100)*(E15/$G$42)</f>
        <v>0</v>
      </c>
      <c r="G15" s="30">
        <v>5</v>
      </c>
      <c r="H15" s="16"/>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row>
    <row r="16" spans="1:34" s="7" customFormat="1" ht="19.5" customHeight="1">
      <c r="A16" s="60"/>
      <c r="B16" s="64"/>
      <c r="C16" s="63"/>
      <c r="D16" s="111" t="b">
        <v>0</v>
      </c>
      <c r="E16" s="21">
        <f>IF(D16=TRUE,G16,0)</f>
        <v>0</v>
      </c>
      <c r="F16" s="23">
        <f>+($C$4/100)*(E16/$G$42)</f>
        <v>0</v>
      </c>
      <c r="G16" s="30">
        <v>5</v>
      </c>
      <c r="H16" s="16"/>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row>
    <row r="17" spans="1:34" s="7" customFormat="1" ht="12.75">
      <c r="A17" s="60"/>
      <c r="B17" s="65"/>
      <c r="C17" s="63"/>
      <c r="D17" s="111"/>
      <c r="E17" s="21"/>
      <c r="F17" s="23">
        <f>SUM(F15:F16)</f>
        <v>0</v>
      </c>
      <c r="G17" s="17"/>
      <c r="H17" s="16"/>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s="7" customFormat="1" ht="17.25" customHeight="1">
      <c r="A18" s="60"/>
      <c r="B18" s="62" t="s">
        <v>370</v>
      </c>
      <c r="C18" s="63"/>
      <c r="D18" s="111"/>
      <c r="E18" s="21"/>
      <c r="F18" s="21"/>
      <c r="G18" s="36"/>
      <c r="H18" s="121"/>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row>
    <row r="19" spans="1:34" s="7" customFormat="1" ht="15.75" customHeight="1">
      <c r="A19" s="60"/>
      <c r="B19" s="64"/>
      <c r="C19" s="63"/>
      <c r="D19" s="111"/>
      <c r="E19" s="21"/>
      <c r="F19" s="23"/>
      <c r="G19" s="36">
        <f>IF((E20+E21+E24+E23+E25+E26)&gt;0,G21+G26,0)</f>
        <v>0</v>
      </c>
      <c r="H19" s="23">
        <f>+($C$4/100)*(G19/$G$42)</f>
        <v>0</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row>
    <row r="20" spans="1:34" s="7" customFormat="1" ht="20.25" customHeight="1">
      <c r="A20" s="60"/>
      <c r="B20" s="64"/>
      <c r="C20" s="63"/>
      <c r="D20" s="111" t="b">
        <v>0</v>
      </c>
      <c r="E20" s="21">
        <f aca="true" t="shared" si="0" ref="E20:E26">IF(D20=TRUE,G20,0)</f>
        <v>0</v>
      </c>
      <c r="F20" s="23">
        <f aca="true" t="shared" si="1" ref="F20:F26">+($C$4/100)*(E20/$G$42)</f>
        <v>0</v>
      </c>
      <c r="G20" s="34">
        <v>5</v>
      </c>
      <c r="H20" s="121"/>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row>
    <row r="21" spans="1:34" s="7" customFormat="1" ht="20.25" customHeight="1">
      <c r="A21" s="60"/>
      <c r="B21" s="64"/>
      <c r="C21" s="63"/>
      <c r="D21" s="111" t="b">
        <v>0</v>
      </c>
      <c r="E21" s="21">
        <f t="shared" si="0"/>
        <v>0</v>
      </c>
      <c r="F21" s="23">
        <f t="shared" si="1"/>
        <v>0</v>
      </c>
      <c r="G21" s="34">
        <v>10</v>
      </c>
      <c r="H21" s="121"/>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1:34" s="7" customFormat="1" ht="20.25" customHeight="1">
      <c r="A22" s="60"/>
      <c r="B22" s="64"/>
      <c r="C22" s="63"/>
      <c r="D22" s="111" t="b">
        <v>0</v>
      </c>
      <c r="E22" s="21">
        <f t="shared" si="0"/>
        <v>0</v>
      </c>
      <c r="F22" s="23">
        <f t="shared" si="1"/>
        <v>0</v>
      </c>
      <c r="G22" s="34">
        <v>0</v>
      </c>
      <c r="H22" s="121"/>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4" s="7" customFormat="1" ht="20.25" customHeight="1">
      <c r="A23" s="60"/>
      <c r="B23" s="64"/>
      <c r="C23" s="63"/>
      <c r="D23" s="111" t="b">
        <v>0</v>
      </c>
      <c r="E23" s="21">
        <f t="shared" si="0"/>
        <v>0</v>
      </c>
      <c r="F23" s="23">
        <f t="shared" si="1"/>
        <v>0</v>
      </c>
      <c r="G23" s="34">
        <v>1</v>
      </c>
      <c r="H23" s="121"/>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row>
    <row r="24" spans="1:34" s="7" customFormat="1" ht="20.25" customHeight="1">
      <c r="A24" s="60"/>
      <c r="B24" s="64"/>
      <c r="C24" s="63"/>
      <c r="D24" s="111" t="b">
        <v>0</v>
      </c>
      <c r="E24" s="21">
        <f t="shared" si="0"/>
        <v>0</v>
      </c>
      <c r="F24" s="23">
        <f t="shared" si="1"/>
        <v>0</v>
      </c>
      <c r="G24" s="34">
        <v>3</v>
      </c>
      <c r="H24" s="121"/>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s="7" customFormat="1" ht="20.25" customHeight="1">
      <c r="A25" s="60"/>
      <c r="B25" s="64"/>
      <c r="C25" s="63"/>
      <c r="D25" s="111" t="b">
        <v>0</v>
      </c>
      <c r="E25" s="21">
        <f t="shared" si="0"/>
        <v>0</v>
      </c>
      <c r="F25" s="23">
        <f t="shared" si="1"/>
        <v>0</v>
      </c>
      <c r="G25" s="34">
        <v>5</v>
      </c>
      <c r="H25" s="121"/>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row>
    <row r="26" spans="1:34" s="7" customFormat="1" ht="20.25" customHeight="1">
      <c r="A26" s="60"/>
      <c r="B26" s="64"/>
      <c r="C26" s="63"/>
      <c r="D26" s="111" t="b">
        <v>0</v>
      </c>
      <c r="E26" s="21">
        <f t="shared" si="0"/>
        <v>0</v>
      </c>
      <c r="F26" s="23">
        <f t="shared" si="1"/>
        <v>0</v>
      </c>
      <c r="G26" s="34">
        <v>10</v>
      </c>
      <c r="H26" s="121"/>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row>
    <row r="27" spans="1:34" s="7" customFormat="1" ht="12.75">
      <c r="A27" s="60"/>
      <c r="B27" s="64"/>
      <c r="C27" s="63"/>
      <c r="D27" s="111"/>
      <c r="E27" s="21">
        <f>SUM(E20:E26)</f>
        <v>0</v>
      </c>
      <c r="F27" s="23">
        <f>SUM(F20:F26)</f>
        <v>0</v>
      </c>
      <c r="G27" s="36"/>
      <c r="H27" s="121"/>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row>
    <row r="28" spans="1:34" s="7" customFormat="1" ht="21" customHeight="1">
      <c r="A28" s="60"/>
      <c r="B28" s="65" t="s">
        <v>57</v>
      </c>
      <c r="C28" s="63"/>
      <c r="D28" s="111"/>
      <c r="E28" s="21"/>
      <c r="F28" s="23">
        <f>IF(F27&lt;H19,F27,H19)</f>
        <v>0</v>
      </c>
      <c r="G28" s="36"/>
      <c r="H28" s="121"/>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row>
    <row r="29" spans="1:34" s="7" customFormat="1" ht="20.25" customHeight="1">
      <c r="A29" s="60"/>
      <c r="B29" s="64"/>
      <c r="C29" s="63"/>
      <c r="D29" s="111"/>
      <c r="E29" s="21"/>
      <c r="F29" s="23"/>
      <c r="G29" s="36">
        <f>IF((E30+E31+E32+E33)&gt;0,G30+G31+G32,0)</f>
        <v>0</v>
      </c>
      <c r="H29" s="23">
        <f>+($C$4/100)*(G29/$G$42)</f>
        <v>0</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row>
    <row r="30" spans="1:34" s="7" customFormat="1" ht="20.25" customHeight="1">
      <c r="A30" s="60"/>
      <c r="B30" s="64"/>
      <c r="C30" s="63"/>
      <c r="D30" s="111" t="b">
        <v>0</v>
      </c>
      <c r="E30" s="21">
        <f>IF(D30=TRUE,G30,0)</f>
        <v>0</v>
      </c>
      <c r="F30" s="23">
        <f>+($C$4/100)*(E30/$G$42)</f>
        <v>0</v>
      </c>
      <c r="G30" s="34">
        <v>5</v>
      </c>
      <c r="H30" s="121"/>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row>
    <row r="31" spans="1:34" s="7" customFormat="1" ht="20.25" customHeight="1">
      <c r="A31" s="60"/>
      <c r="B31" s="64"/>
      <c r="C31" s="63"/>
      <c r="D31" s="111" t="b">
        <v>0</v>
      </c>
      <c r="E31" s="21">
        <f>IF(D31=TRUE,G31,0)</f>
        <v>0</v>
      </c>
      <c r="F31" s="23">
        <f>+($C$4/100)*(E31/$G$42)</f>
        <v>0</v>
      </c>
      <c r="G31" s="34">
        <v>3</v>
      </c>
      <c r="H31" s="121"/>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s="7" customFormat="1" ht="20.25" customHeight="1">
      <c r="A32" s="60"/>
      <c r="B32" s="64"/>
      <c r="C32" s="63"/>
      <c r="D32" s="111" t="b">
        <v>0</v>
      </c>
      <c r="E32" s="21">
        <f>IF(D32=TRUE,G32,0)</f>
        <v>0</v>
      </c>
      <c r="F32" s="23">
        <f>+($C$4/100)*(E32/$G$42)</f>
        <v>0</v>
      </c>
      <c r="G32" s="34">
        <v>12</v>
      </c>
      <c r="H32" s="121"/>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s="7" customFormat="1" ht="20.25" customHeight="1">
      <c r="A33" s="60"/>
      <c r="B33" s="64"/>
      <c r="C33" s="63"/>
      <c r="D33" s="111" t="b">
        <v>0</v>
      </c>
      <c r="E33" s="21">
        <f>IF(D33=TRUE,G33,0)</f>
        <v>0</v>
      </c>
      <c r="F33" s="23">
        <f>+($C$4/100)*(E33/$G$42)</f>
        <v>0</v>
      </c>
      <c r="G33" s="34">
        <v>0</v>
      </c>
      <c r="H33" s="121"/>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1:34" s="7" customFormat="1" ht="23.25" customHeight="1">
      <c r="A34" s="60"/>
      <c r="B34" s="64"/>
      <c r="C34" s="63"/>
      <c r="D34" s="111"/>
      <c r="E34" s="21"/>
      <c r="F34" s="23">
        <f>SUM(F30:F33)</f>
        <v>0</v>
      </c>
      <c r="G34" s="17"/>
      <c r="H34" s="16"/>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s="7" customFormat="1" ht="18" customHeight="1">
      <c r="A35" s="60"/>
      <c r="B35" s="64"/>
      <c r="C35" s="63"/>
      <c r="D35" s="111"/>
      <c r="E35" s="21"/>
      <c r="F35" s="23"/>
      <c r="G35" s="36">
        <f>+G36</f>
        <v>10</v>
      </c>
      <c r="H35" s="23">
        <f>+($C$4/100)*(G35/$G$42)</f>
        <v>0.008823529411764706</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spans="1:34" s="7" customFormat="1" ht="20.25" customHeight="1">
      <c r="A36" s="60"/>
      <c r="B36" s="64"/>
      <c r="C36" s="63"/>
      <c r="D36" s="111">
        <v>0</v>
      </c>
      <c r="E36" s="21">
        <f>IF(D36=1,G36,0)</f>
        <v>0</v>
      </c>
      <c r="F36" s="23">
        <f>+($C$4/100)*(E36/$G$42)</f>
        <v>0</v>
      </c>
      <c r="G36" s="34">
        <v>10</v>
      </c>
      <c r="H36" s="121"/>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row>
    <row r="37" spans="1:34" s="7" customFormat="1" ht="20.25" customHeight="1">
      <c r="A37" s="60"/>
      <c r="B37" s="64"/>
      <c r="C37" s="63"/>
      <c r="D37" s="111"/>
      <c r="E37" s="21">
        <f>IF(D36=2,G37,0)</f>
        <v>0</v>
      </c>
      <c r="F37" s="23">
        <f>+($C$4/100)*(E37/$G$42)</f>
        <v>0</v>
      </c>
      <c r="G37" s="34">
        <v>7</v>
      </c>
      <c r="H37" s="121"/>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1:34" s="7" customFormat="1" ht="20.25" customHeight="1">
      <c r="A38" s="60"/>
      <c r="B38" s="64"/>
      <c r="C38" s="63"/>
      <c r="D38" s="111"/>
      <c r="E38" s="21">
        <f>IF(D36=3,G38,0)</f>
        <v>0</v>
      </c>
      <c r="F38" s="23">
        <f>+($C$4/100)*(E38/$G$42)</f>
        <v>0</v>
      </c>
      <c r="G38" s="34">
        <v>2</v>
      </c>
      <c r="H38" s="121"/>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s="7" customFormat="1" ht="20.25" customHeight="1">
      <c r="A39" s="60"/>
      <c r="B39" s="64"/>
      <c r="C39" s="63"/>
      <c r="D39" s="111"/>
      <c r="E39" s="21">
        <f>IF(D36=4,G39,0)</f>
        <v>0</v>
      </c>
      <c r="F39" s="23">
        <f>+($C$4/100)*(E39/$G$42)</f>
        <v>0</v>
      </c>
      <c r="G39" s="34">
        <v>0</v>
      </c>
      <c r="H39" s="121"/>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row>
    <row r="40" spans="1:34" s="7" customFormat="1" ht="12.75">
      <c r="A40" s="60"/>
      <c r="B40" s="64"/>
      <c r="C40" s="63"/>
      <c r="D40" s="111"/>
      <c r="E40" s="21">
        <f>SUM(E36:E39)</f>
        <v>0</v>
      </c>
      <c r="F40" s="23">
        <f>SUM(F36:F39)</f>
        <v>0</v>
      </c>
      <c r="G40" s="36"/>
      <c r="H40" s="121"/>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row>
    <row r="41" spans="1:34" s="7" customFormat="1" ht="12.75">
      <c r="A41" s="60"/>
      <c r="B41" s="154" t="s">
        <v>341</v>
      </c>
      <c r="C41" s="63"/>
      <c r="D41" s="111"/>
      <c r="E41" s="21"/>
      <c r="F41" s="23">
        <f>IF(F40&lt;H35,F40,H35)</f>
        <v>0</v>
      </c>
      <c r="G41" s="36"/>
      <c r="H41" s="121"/>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row>
    <row r="42" spans="1:34" s="7" customFormat="1" ht="12.75" hidden="1">
      <c r="A42" s="35"/>
      <c r="B42" s="83" t="s">
        <v>50</v>
      </c>
      <c r="C42" s="70"/>
      <c r="D42" s="111"/>
      <c r="E42" s="21">
        <f>SUM(E9:E40)</f>
        <v>0</v>
      </c>
      <c r="F42" s="23">
        <f>+F12+F17+F41+F28+F34</f>
        <v>0</v>
      </c>
      <c r="G42" s="17">
        <f>+G12+G14+G19+G29+G35</f>
        <v>34</v>
      </c>
      <c r="H42" s="16"/>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spans="1:34" s="7" customFormat="1" ht="12.75" hidden="1">
      <c r="A43" s="35"/>
      <c r="B43" s="83"/>
      <c r="C43" s="70"/>
      <c r="D43" s="111"/>
      <c r="E43" s="21"/>
      <c r="F43" s="23"/>
      <c r="G43" s="17"/>
      <c r="H43" s="16"/>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row>
    <row r="44" spans="1:34" s="7" customFormat="1" ht="12.75" hidden="1">
      <c r="A44" s="35"/>
      <c r="B44" s="76" t="s">
        <v>81</v>
      </c>
      <c r="C44" s="69"/>
      <c r="D44" s="2"/>
      <c r="E44" s="2"/>
      <c r="F44" s="28">
        <f>IF(F42&gt;C4/100,C4,F42*100)</f>
        <v>0</v>
      </c>
      <c r="G44" s="17"/>
      <c r="H44" s="16"/>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row>
    <row r="45" spans="1:34" s="7" customFormat="1" ht="12.75">
      <c r="A45" s="60"/>
      <c r="B45" s="64"/>
      <c r="C45" s="63"/>
      <c r="D45" s="111"/>
      <c r="F45" s="24"/>
      <c r="G45" s="16"/>
      <c r="H45" s="16"/>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row>
  </sheetData>
  <sheetProtection/>
  <mergeCells count="1">
    <mergeCell ref="B6:C6"/>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Ark8"/>
  <dimension ref="A1:AN37"/>
  <sheetViews>
    <sheetView zoomScalePageLayoutView="0" workbookViewId="0" topLeftCell="A5">
      <selection activeCell="K14" sqref="K14"/>
    </sheetView>
  </sheetViews>
  <sheetFormatPr defaultColWidth="9.140625" defaultRowHeight="15"/>
  <cols>
    <col min="1" max="1" width="3.57421875" style="48" customWidth="1"/>
    <col min="2" max="2" width="71.8515625" style="45" customWidth="1"/>
    <col min="3" max="3" width="14.140625" style="47" customWidth="1"/>
    <col min="4" max="4" width="14.140625" style="112" hidden="1" customWidth="1"/>
    <col min="5" max="5" width="8.7109375" style="1" hidden="1" customWidth="1"/>
    <col min="6" max="6" width="14.28125" style="3" hidden="1" customWidth="1"/>
    <col min="7" max="7" width="16.28125" style="1" hidden="1" customWidth="1"/>
    <col min="8" max="8" width="9.140625" style="1" hidden="1" customWidth="1"/>
    <col min="9" max="40" width="9.140625" style="48" customWidth="1"/>
    <col min="41" max="16384" width="9.140625" style="1" customWidth="1"/>
  </cols>
  <sheetData>
    <row r="1" spans="2:6" s="69" customFormat="1" ht="12.75" hidden="1">
      <c r="B1" s="76"/>
      <c r="C1" s="71"/>
      <c r="D1" s="112"/>
      <c r="F1" s="77"/>
    </row>
    <row r="2" spans="2:6" s="69" customFormat="1" ht="12.75" hidden="1">
      <c r="B2" s="76" t="s">
        <v>47</v>
      </c>
      <c r="C2" s="71"/>
      <c r="D2" s="112"/>
      <c r="F2" s="77"/>
    </row>
    <row r="3" spans="2:6" s="69" customFormat="1" ht="25.5" hidden="1">
      <c r="B3" s="76" t="s">
        <v>40</v>
      </c>
      <c r="C3" s="71"/>
      <c r="D3" s="112"/>
      <c r="F3" s="77"/>
    </row>
    <row r="4" spans="2:6" s="69" customFormat="1" ht="12.75" hidden="1">
      <c r="B4" s="76" t="s">
        <v>1</v>
      </c>
      <c r="C4" s="71">
        <f>+'IPM-point'!E16</f>
        <v>12</v>
      </c>
      <c r="D4" s="112"/>
      <c r="F4" s="77"/>
    </row>
    <row r="5" ht="12.75" customHeight="1"/>
    <row r="6" ht="9" customHeight="1">
      <c r="B6" s="48"/>
    </row>
    <row r="7" spans="1:40" s="143" customFormat="1" ht="34.5" customHeight="1">
      <c r="A7" s="142"/>
      <c r="B7" s="284" t="s">
        <v>182</v>
      </c>
      <c r="C7" s="287"/>
      <c r="D7" s="146"/>
      <c r="F7" s="144"/>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row>
    <row r="8" ht="12.75">
      <c r="B8" s="48"/>
    </row>
    <row r="9" spans="2:4" ht="27.75" customHeight="1">
      <c r="B9" s="288" t="s">
        <v>150</v>
      </c>
      <c r="C9" s="288"/>
      <c r="D9" s="124"/>
    </row>
    <row r="10" spans="1:40" s="7" customFormat="1" ht="25.5">
      <c r="A10" s="60"/>
      <c r="B10" s="67"/>
      <c r="C10" s="63"/>
      <c r="D10" s="111"/>
      <c r="E10" s="5" t="s">
        <v>25</v>
      </c>
      <c r="F10" s="14" t="s">
        <v>23</v>
      </c>
      <c r="G10" s="15" t="s">
        <v>21</v>
      </c>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row>
    <row r="11" spans="1:40" s="7" customFormat="1" ht="12.75">
      <c r="A11" s="60"/>
      <c r="B11" s="65"/>
      <c r="C11" s="63"/>
      <c r="D11" s="111"/>
      <c r="E11" s="17"/>
      <c r="F11" s="18"/>
      <c r="G11" s="36">
        <f>+G12</f>
        <v>12</v>
      </c>
      <c r="H11" s="18">
        <f>+($C$4/100)*(G11/$G$35)</f>
        <v>0.039999999999999994</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row>
    <row r="12" spans="1:40" s="7" customFormat="1" ht="20.25" customHeight="1">
      <c r="A12" s="60"/>
      <c r="B12" s="64"/>
      <c r="C12" s="63"/>
      <c r="D12" s="111">
        <v>0</v>
      </c>
      <c r="E12" s="17">
        <f>IF(D12=1,G12,0)</f>
        <v>0</v>
      </c>
      <c r="F12" s="18">
        <f>+($C$4/100)*(E12/$G$35)</f>
        <v>0</v>
      </c>
      <c r="G12" s="34">
        <v>12</v>
      </c>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row>
    <row r="13" spans="1:40" s="7" customFormat="1" ht="20.25" customHeight="1">
      <c r="A13" s="60"/>
      <c r="B13" s="64"/>
      <c r="C13" s="63"/>
      <c r="D13" s="111"/>
      <c r="E13" s="17">
        <f>IF(D12=2,G13,0)</f>
        <v>0</v>
      </c>
      <c r="F13" s="18">
        <f>+($C$4/100)*(E13/$G$35)</f>
        <v>0</v>
      </c>
      <c r="G13" s="34">
        <v>9</v>
      </c>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0" s="7" customFormat="1" ht="20.25" customHeight="1">
      <c r="A14" s="60"/>
      <c r="B14" s="64"/>
      <c r="C14" s="63"/>
      <c r="D14" s="111"/>
      <c r="E14" s="17">
        <f>IF(D12=3,G14,0)</f>
        <v>0</v>
      </c>
      <c r="F14" s="18">
        <f>+($C$4/100)*(E14/$G$35)</f>
        <v>0</v>
      </c>
      <c r="G14" s="34">
        <v>3</v>
      </c>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row>
    <row r="15" spans="1:40" s="7" customFormat="1" ht="20.25" customHeight="1">
      <c r="A15" s="60"/>
      <c r="B15" s="64"/>
      <c r="C15" s="63"/>
      <c r="D15" s="111"/>
      <c r="E15" s="17">
        <f>IF(D12=4,G15,0)</f>
        <v>0</v>
      </c>
      <c r="F15" s="18">
        <f>+($C$4/100)*(E15/$G$35)</f>
        <v>0</v>
      </c>
      <c r="G15" s="34">
        <v>0</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row>
    <row r="16" spans="1:40" s="7" customFormat="1" ht="20.25" customHeight="1">
      <c r="A16" s="60"/>
      <c r="B16" s="64"/>
      <c r="C16" s="63"/>
      <c r="D16" s="111"/>
      <c r="E16" s="17">
        <f>IF(D12=5,G16,0)</f>
        <v>0</v>
      </c>
      <c r="F16" s="18">
        <f>+($C$4/100)*(E16/$G$35)</f>
        <v>0</v>
      </c>
      <c r="G16" s="34">
        <v>2</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row>
    <row r="17" spans="1:40" s="7" customFormat="1" ht="12.75">
      <c r="A17" s="60"/>
      <c r="B17" s="64"/>
      <c r="C17" s="63"/>
      <c r="D17" s="111"/>
      <c r="E17" s="17"/>
      <c r="F17" s="18">
        <f>SUM(F12:F16)</f>
        <v>0</v>
      </c>
      <c r="G17" s="36"/>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row>
    <row r="18" spans="1:40" s="7" customFormat="1" ht="12.75">
      <c r="A18" s="60"/>
      <c r="B18" s="64"/>
      <c r="C18" s="63"/>
      <c r="D18" s="111"/>
      <c r="E18" s="17"/>
      <c r="F18" s="18">
        <f>IF(F17&gt;H11,H11,F17)</f>
        <v>0</v>
      </c>
      <c r="G18" s="36"/>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0" s="7" customFormat="1" ht="12.75">
      <c r="A19" s="60"/>
      <c r="B19" s="65"/>
      <c r="C19" s="63"/>
      <c r="D19" s="111"/>
      <c r="E19" s="17"/>
      <c r="F19" s="18"/>
      <c r="G19" s="36">
        <f>+G22</f>
        <v>12</v>
      </c>
      <c r="H19" s="18">
        <f>+($C$4/100)*(G19/$G$35)</f>
        <v>0.039999999999999994</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row>
    <row r="20" spans="1:40" s="7" customFormat="1" ht="20.25" customHeight="1">
      <c r="A20" s="60"/>
      <c r="B20" s="60"/>
      <c r="C20" s="63"/>
      <c r="D20" s="111" t="b">
        <v>0</v>
      </c>
      <c r="E20" s="17">
        <f>IF(D20=TRUE,G20,0)</f>
        <v>0</v>
      </c>
      <c r="F20" s="18">
        <f>+($C$4/100)*(E20/$G$35)</f>
        <v>0</v>
      </c>
      <c r="G20" s="34">
        <v>2</v>
      </c>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row>
    <row r="21" spans="1:40" s="7" customFormat="1" ht="20.25" customHeight="1">
      <c r="A21" s="60"/>
      <c r="B21" s="64"/>
      <c r="C21" s="63"/>
      <c r="D21" s="111" t="b">
        <v>0</v>
      </c>
      <c r="E21" s="17">
        <f>IF(D21=TRUE,G21,0)</f>
        <v>0</v>
      </c>
      <c r="F21" s="18">
        <f>+($C$4/100)*(E21/$G$35)</f>
        <v>0</v>
      </c>
      <c r="G21" s="34">
        <v>8</v>
      </c>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7" customFormat="1" ht="20.25" customHeight="1">
      <c r="A22" s="60"/>
      <c r="B22" s="64"/>
      <c r="C22" s="63"/>
      <c r="D22" s="111" t="b">
        <v>0</v>
      </c>
      <c r="E22" s="17">
        <f>IF(D22=TRUE,G22,0)</f>
        <v>0</v>
      </c>
      <c r="F22" s="18">
        <f>+($C$4/100)*(E22/$G$35)</f>
        <v>0</v>
      </c>
      <c r="G22" s="34">
        <v>12</v>
      </c>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row>
    <row r="23" spans="1:40" s="7" customFormat="1" ht="20.25" customHeight="1">
      <c r="A23" s="60"/>
      <c r="B23" s="64"/>
      <c r="C23" s="63"/>
      <c r="D23" s="111" t="b">
        <v>0</v>
      </c>
      <c r="E23" s="17">
        <f>IF(D23=TRUE,G23,0)</f>
        <v>0</v>
      </c>
      <c r="F23" s="18">
        <f>+($C$4/100)*(E23/$G$35)</f>
        <v>0</v>
      </c>
      <c r="G23" s="34">
        <v>6</v>
      </c>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row>
    <row r="24" spans="1:40" s="7" customFormat="1" ht="20.25" customHeight="1">
      <c r="A24" s="60"/>
      <c r="B24" s="64"/>
      <c r="C24" s="63"/>
      <c r="D24" s="111" t="b">
        <v>0</v>
      </c>
      <c r="E24" s="17">
        <f>IF(D24=TRUE,G24,0)</f>
        <v>0</v>
      </c>
      <c r="F24" s="18">
        <f>+($C$4/100)*(E24/$G$35)</f>
        <v>0</v>
      </c>
      <c r="G24" s="34">
        <v>2</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row>
    <row r="25" spans="1:40" s="7" customFormat="1" ht="12.75">
      <c r="A25" s="60"/>
      <c r="B25" s="64"/>
      <c r="C25" s="63"/>
      <c r="D25" s="111"/>
      <c r="E25" s="17"/>
      <c r="F25" s="18">
        <f>SUM(F20:F24)</f>
        <v>0</v>
      </c>
      <c r="G25" s="36"/>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row>
    <row r="26" spans="1:40" s="7" customFormat="1" ht="12.75">
      <c r="A26" s="60"/>
      <c r="B26" s="64"/>
      <c r="C26" s="63"/>
      <c r="D26" s="111"/>
      <c r="E26" s="17"/>
      <c r="F26" s="18">
        <f>IF(F25&gt;H19,H19,F25)</f>
        <v>0</v>
      </c>
      <c r="G26" s="36"/>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row>
    <row r="27" spans="1:40" s="7" customFormat="1" ht="12.75">
      <c r="A27" s="60"/>
      <c r="B27" s="65"/>
      <c r="C27" s="63"/>
      <c r="D27" s="111"/>
      <c r="E27" s="17"/>
      <c r="F27" s="18"/>
      <c r="G27" s="36">
        <f>G29+G28</f>
        <v>12</v>
      </c>
      <c r="H27" s="18">
        <f>+($C$4/100)*(G27/$G$35)</f>
        <v>0.039999999999999994</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row>
    <row r="28" spans="1:40" s="7" customFormat="1" ht="20.25" customHeight="1">
      <c r="A28" s="60"/>
      <c r="B28" s="64"/>
      <c r="C28" s="63"/>
      <c r="D28" s="111" t="b">
        <v>0</v>
      </c>
      <c r="E28" s="17">
        <f>IF(D28=TRUE,G28,0)</f>
        <v>0</v>
      </c>
      <c r="F28" s="18">
        <f>+($C$4/100)*(E28/$G$35)</f>
        <v>0</v>
      </c>
      <c r="G28" s="34">
        <v>2</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7" customFormat="1" ht="20.25" customHeight="1">
      <c r="A29" s="60"/>
      <c r="B29" s="64"/>
      <c r="C29" s="63"/>
      <c r="D29" s="111" t="b">
        <v>0</v>
      </c>
      <c r="E29" s="17">
        <f>IF(D29=TRUE,G29,0)</f>
        <v>0</v>
      </c>
      <c r="F29" s="18">
        <f>+($C$4/100)*(E29/$G$35)</f>
        <v>0</v>
      </c>
      <c r="G29" s="34">
        <v>10</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row>
    <row r="30" spans="1:40" s="7" customFormat="1" ht="20.25" customHeight="1">
      <c r="A30" s="60"/>
      <c r="B30" s="64"/>
      <c r="C30" s="63"/>
      <c r="D30" s="111" t="b">
        <v>0</v>
      </c>
      <c r="E30" s="17">
        <f>IF(D30=TRUE,G30,0)</f>
        <v>0</v>
      </c>
      <c r="F30" s="18">
        <f>+($C$4/100)*(E30/$G$35)</f>
        <v>0</v>
      </c>
      <c r="G30" s="34">
        <v>0</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row>
    <row r="31" spans="1:40" s="7" customFormat="1" ht="20.25" customHeight="1">
      <c r="A31" s="60"/>
      <c r="B31" s="64"/>
      <c r="C31" s="63"/>
      <c r="D31" s="111" t="b">
        <v>0</v>
      </c>
      <c r="E31" s="17">
        <f>IF(D31=TRUE,G31,0)</f>
        <v>0</v>
      </c>
      <c r="F31" s="18">
        <f>+($C$4/100)*(E31/$G$35)</f>
        <v>0</v>
      </c>
      <c r="G31" s="34">
        <v>4</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row>
    <row r="32" spans="1:40" s="7" customFormat="1" ht="20.25" customHeight="1">
      <c r="A32" s="60"/>
      <c r="B32" s="64"/>
      <c r="C32" s="63"/>
      <c r="D32" s="111" t="b">
        <v>0</v>
      </c>
      <c r="E32" s="17">
        <f>IF(D32=TRUE,G32,0)</f>
        <v>0</v>
      </c>
      <c r="F32" s="18">
        <f>+($C$4/100)*(E32/$G$35)</f>
        <v>0</v>
      </c>
      <c r="G32" s="34">
        <v>8</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row>
    <row r="33" spans="1:40" s="7" customFormat="1" ht="12.75">
      <c r="A33" s="60"/>
      <c r="B33" s="64"/>
      <c r="C33" s="63"/>
      <c r="D33" s="111"/>
      <c r="E33" s="17"/>
      <c r="F33" s="18">
        <f>SUM(F28:F32)</f>
        <v>0</v>
      </c>
      <c r="G33" s="36"/>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row>
    <row r="34" spans="1:40" s="7" customFormat="1" ht="12.75">
      <c r="A34" s="60"/>
      <c r="B34" s="154" t="s">
        <v>342</v>
      </c>
      <c r="C34" s="63"/>
      <c r="D34" s="111"/>
      <c r="E34" s="17"/>
      <c r="F34" s="18">
        <f>IF(F33&gt;H27,H27,F33)</f>
        <v>0</v>
      </c>
      <c r="G34" s="36"/>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row>
    <row r="35" spans="1:40" s="7" customFormat="1" ht="12.75" hidden="1">
      <c r="A35" s="35"/>
      <c r="B35" s="83" t="s">
        <v>50</v>
      </c>
      <c r="C35" s="70"/>
      <c r="D35" s="111"/>
      <c r="E35" s="17">
        <f>SUM(E11:E33)</f>
        <v>0</v>
      </c>
      <c r="F35" s="18">
        <f>+F18+F26+F34</f>
        <v>0</v>
      </c>
      <c r="G35" s="17">
        <f>+G11+G19+G27</f>
        <v>36</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row>
    <row r="36" spans="1:40" s="7" customFormat="1" ht="12.75" hidden="1">
      <c r="A36" s="35"/>
      <c r="B36" s="83"/>
      <c r="C36" s="70"/>
      <c r="D36" s="111"/>
      <c r="F36" s="24"/>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row>
    <row r="37" spans="1:40" s="7" customFormat="1" ht="12.75" hidden="1">
      <c r="A37" s="35"/>
      <c r="B37" s="76" t="s">
        <v>81</v>
      </c>
      <c r="C37" s="69"/>
      <c r="D37" s="2"/>
      <c r="E37" s="2"/>
      <c r="F37" s="28">
        <f>+F35*100</f>
        <v>0</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row>
  </sheetData>
  <sheetProtection/>
  <mergeCells count="2">
    <mergeCell ref="B9:C9"/>
    <mergeCell ref="B7:C7"/>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Ark9"/>
  <dimension ref="A1:AW65"/>
  <sheetViews>
    <sheetView zoomScalePageLayoutView="0" workbookViewId="0" topLeftCell="A14">
      <selection activeCell="R30" sqref="R30"/>
    </sheetView>
  </sheetViews>
  <sheetFormatPr defaultColWidth="9.140625" defaultRowHeight="15"/>
  <cols>
    <col min="1" max="1" width="3.57421875" style="48" customWidth="1"/>
    <col min="2" max="2" width="70.140625" style="45" customWidth="1"/>
    <col min="3" max="3" width="13.28125" style="47" customWidth="1"/>
    <col min="4" max="4" width="13.28125" style="112" hidden="1" customWidth="1"/>
    <col min="5" max="5" width="8.7109375" style="1" hidden="1" customWidth="1"/>
    <col min="6" max="6" width="14.28125" style="3" hidden="1" customWidth="1"/>
    <col min="7" max="7" width="9.140625" style="1" hidden="1" customWidth="1"/>
    <col min="8" max="8" width="10.421875" style="1" hidden="1" customWidth="1"/>
    <col min="9" max="49" width="9.140625" style="48" customWidth="1"/>
    <col min="50" max="16384" width="9.140625" style="1" customWidth="1"/>
  </cols>
  <sheetData>
    <row r="1" spans="2:6" s="69" customFormat="1" ht="12.75" hidden="1">
      <c r="B1" s="76"/>
      <c r="C1" s="71"/>
      <c r="D1" s="112"/>
      <c r="F1" s="77"/>
    </row>
    <row r="2" spans="2:6" s="69" customFormat="1" ht="12.75" hidden="1">
      <c r="B2" s="76" t="s">
        <v>47</v>
      </c>
      <c r="C2" s="71"/>
      <c r="D2" s="112"/>
      <c r="F2" s="77"/>
    </row>
    <row r="3" spans="2:6" s="69" customFormat="1" ht="25.5" hidden="1">
      <c r="B3" s="76" t="s">
        <v>41</v>
      </c>
      <c r="C3" s="71"/>
      <c r="D3" s="112"/>
      <c r="F3" s="77"/>
    </row>
    <row r="4" spans="2:6" s="69" customFormat="1" ht="12.75" hidden="1">
      <c r="B4" s="76" t="s">
        <v>1</v>
      </c>
      <c r="C4" s="71">
        <f>+'IPM-point'!E17</f>
        <v>12</v>
      </c>
      <c r="D4" s="112"/>
      <c r="F4" s="77"/>
    </row>
    <row r="5" ht="20.25" customHeight="1"/>
    <row r="6" spans="1:49" s="127" customFormat="1" ht="39" customHeight="1">
      <c r="A6" s="126"/>
      <c r="B6" s="290" t="s">
        <v>192</v>
      </c>
      <c r="C6" s="290"/>
      <c r="D6" s="129"/>
      <c r="F6" s="128"/>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row>
    <row r="7" ht="12.75">
      <c r="B7" s="123"/>
    </row>
    <row r="8" spans="2:4" ht="38.25" customHeight="1">
      <c r="B8" s="289" t="s">
        <v>190</v>
      </c>
      <c r="C8" s="289"/>
      <c r="D8" s="130"/>
    </row>
    <row r="9" ht="11.25" customHeight="1">
      <c r="B9" s="65"/>
    </row>
    <row r="10" spans="3:7" ht="9" customHeight="1">
      <c r="C10" s="63"/>
      <c r="D10" s="111"/>
      <c r="E10" s="5" t="s">
        <v>25</v>
      </c>
      <c r="F10" s="14" t="s">
        <v>23</v>
      </c>
      <c r="G10" s="15" t="s">
        <v>21</v>
      </c>
    </row>
    <row r="11" spans="2:8" ht="12.75">
      <c r="B11" s="59"/>
      <c r="C11" s="63"/>
      <c r="D11" s="111"/>
      <c r="E11" s="17"/>
      <c r="F11" s="18"/>
      <c r="G11" s="36">
        <f>IF(1a!E11&gt;0,+G14+G16,0)</f>
        <v>20</v>
      </c>
      <c r="H11" s="18">
        <f>+($C$4/100)*(G11/$G$63)</f>
        <v>0.12</v>
      </c>
    </row>
    <row r="12" spans="2:9" ht="20.25" customHeight="1">
      <c r="B12" s="64"/>
      <c r="C12" s="137"/>
      <c r="D12" s="111" t="b">
        <v>0</v>
      </c>
      <c r="E12" s="17">
        <f aca="true" t="shared" si="0" ref="E12:E17">IF(D12=TRUE,G12,0)</f>
        <v>0</v>
      </c>
      <c r="F12" s="18">
        <f aca="true" t="shared" si="1" ref="F12:F17">+($C$4/100)*(E12/$G$63)</f>
        <v>0</v>
      </c>
      <c r="G12" s="22">
        <v>8</v>
      </c>
      <c r="H12" s="12"/>
      <c r="I12" s="60"/>
    </row>
    <row r="13" spans="2:9" ht="20.25" customHeight="1">
      <c r="B13" s="64"/>
      <c r="C13" s="137"/>
      <c r="D13" s="111" t="b">
        <v>0</v>
      </c>
      <c r="E13" s="17">
        <f t="shared" si="0"/>
        <v>0</v>
      </c>
      <c r="F13" s="18">
        <f t="shared" si="1"/>
        <v>0</v>
      </c>
      <c r="G13" s="22">
        <v>3</v>
      </c>
      <c r="H13" s="12"/>
      <c r="I13" s="60"/>
    </row>
    <row r="14" spans="2:9" ht="20.25" customHeight="1">
      <c r="B14" s="64"/>
      <c r="C14" s="137"/>
      <c r="D14" s="111" t="b">
        <v>0</v>
      </c>
      <c r="E14" s="17">
        <f t="shared" si="0"/>
        <v>0</v>
      </c>
      <c r="F14" s="18">
        <f t="shared" si="1"/>
        <v>0</v>
      </c>
      <c r="G14" s="22">
        <v>10</v>
      </c>
      <c r="H14" s="12"/>
      <c r="I14" s="60"/>
    </row>
    <row r="15" spans="2:9" ht="20.25" customHeight="1">
      <c r="B15" s="64"/>
      <c r="C15" s="137"/>
      <c r="D15" s="111" t="b">
        <v>0</v>
      </c>
      <c r="E15" s="17">
        <f t="shared" si="0"/>
        <v>0</v>
      </c>
      <c r="F15" s="18">
        <f t="shared" si="1"/>
        <v>0</v>
      </c>
      <c r="G15" s="22">
        <v>5</v>
      </c>
      <c r="H15" s="12"/>
      <c r="I15" s="60"/>
    </row>
    <row r="16" spans="2:9" ht="20.25" customHeight="1">
      <c r="B16" s="64"/>
      <c r="C16" s="137"/>
      <c r="D16" s="111" t="b">
        <v>0</v>
      </c>
      <c r="E16" s="17">
        <f t="shared" si="0"/>
        <v>0</v>
      </c>
      <c r="F16" s="18">
        <f t="shared" si="1"/>
        <v>0</v>
      </c>
      <c r="G16" s="22">
        <v>10</v>
      </c>
      <c r="H16" s="12"/>
      <c r="I16" s="60"/>
    </row>
    <row r="17" spans="2:9" ht="20.25" customHeight="1">
      <c r="B17" s="64"/>
      <c r="C17" s="137"/>
      <c r="D17" s="111" t="b">
        <v>0</v>
      </c>
      <c r="E17" s="17">
        <f t="shared" si="0"/>
        <v>0</v>
      </c>
      <c r="F17" s="18">
        <f t="shared" si="1"/>
        <v>0</v>
      </c>
      <c r="G17" s="22">
        <v>2</v>
      </c>
      <c r="H17" s="12"/>
      <c r="I17" s="60"/>
    </row>
    <row r="18" spans="2:9" ht="12.75">
      <c r="B18" s="64"/>
      <c r="C18" s="137"/>
      <c r="D18" s="111"/>
      <c r="E18" s="21"/>
      <c r="F18" s="23">
        <f>SUM(F12:F17)</f>
        <v>0</v>
      </c>
      <c r="G18" s="21"/>
      <c r="H18" s="12"/>
      <c r="I18" s="60"/>
    </row>
    <row r="19" spans="2:9" ht="8.25" customHeight="1">
      <c r="B19" s="64"/>
      <c r="C19" s="137"/>
      <c r="D19" s="111"/>
      <c r="E19" s="21"/>
      <c r="F19" s="23">
        <f>IF(F18&gt;H11,H11,F18)</f>
        <v>0</v>
      </c>
      <c r="G19" s="21"/>
      <c r="H19" s="12"/>
      <c r="I19" s="60"/>
    </row>
    <row r="20" spans="2:9" ht="12.75">
      <c r="B20" s="65"/>
      <c r="C20" s="137"/>
      <c r="D20" s="111"/>
      <c r="E20" s="17"/>
      <c r="F20" s="18"/>
      <c r="G20" s="36">
        <f>IF(1a!E12&gt;0,+G22,0)</f>
        <v>0</v>
      </c>
      <c r="H20" s="18">
        <f>+($C$4/100)*(G20/$G$63)</f>
        <v>0</v>
      </c>
      <c r="I20" s="60"/>
    </row>
    <row r="21" spans="2:9" ht="20.25" customHeight="1">
      <c r="B21" s="64"/>
      <c r="C21" s="137"/>
      <c r="D21" s="111" t="b">
        <v>0</v>
      </c>
      <c r="E21" s="17">
        <f>IF(D21=TRUE,G21,0)</f>
        <v>0</v>
      </c>
      <c r="F21" s="18">
        <f>+($C$4/100)*(E21/$G$63)</f>
        <v>0</v>
      </c>
      <c r="G21" s="22">
        <v>8</v>
      </c>
      <c r="H21" s="12"/>
      <c r="I21" s="60"/>
    </row>
    <row r="22" spans="2:9" ht="20.25" customHeight="1">
      <c r="B22" s="64"/>
      <c r="C22" s="137"/>
      <c r="D22" s="111" t="b">
        <v>0</v>
      </c>
      <c r="E22" s="17">
        <f>IF(D22=TRUE,G22,0)</f>
        <v>0</v>
      </c>
      <c r="F22" s="18">
        <f>+($C$4/100)*(E22/$G$63)</f>
        <v>0</v>
      </c>
      <c r="G22" s="22">
        <v>10</v>
      </c>
      <c r="H22" s="12"/>
      <c r="I22" s="60"/>
    </row>
    <row r="23" spans="2:9" ht="20.25" customHeight="1">
      <c r="B23" s="64"/>
      <c r="C23" s="137"/>
      <c r="D23" s="111" t="b">
        <v>0</v>
      </c>
      <c r="E23" s="17">
        <f>IF(D23=TRUE,G23,0)</f>
        <v>0</v>
      </c>
      <c r="F23" s="18">
        <f>+($C$4/100)*(E23/$G$63)</f>
        <v>0</v>
      </c>
      <c r="G23" s="22">
        <v>3</v>
      </c>
      <c r="H23" s="12"/>
      <c r="I23" s="60"/>
    </row>
    <row r="24" spans="2:9" ht="20.25" customHeight="1">
      <c r="B24" s="64"/>
      <c r="C24" s="137"/>
      <c r="D24" s="111" t="b">
        <v>0</v>
      </c>
      <c r="E24" s="17">
        <f>IF(D24=TRUE,G24,0)</f>
        <v>0</v>
      </c>
      <c r="F24" s="18">
        <f>+($C$4/100)*(E24/$G$63)</f>
        <v>0</v>
      </c>
      <c r="G24" s="22">
        <v>5</v>
      </c>
      <c r="H24" s="12"/>
      <c r="I24" s="60"/>
    </row>
    <row r="25" spans="2:9" ht="20.25" customHeight="1">
      <c r="B25" s="64"/>
      <c r="C25" s="137"/>
      <c r="D25" s="111" t="b">
        <v>0</v>
      </c>
      <c r="E25" s="17">
        <f>IF(D25=TRUE,G25,0)</f>
        <v>0</v>
      </c>
      <c r="F25" s="18">
        <f>+($C$4/100)*(E25/$G$63)</f>
        <v>0</v>
      </c>
      <c r="G25" s="22">
        <v>0</v>
      </c>
      <c r="H25" s="12"/>
      <c r="I25" s="60"/>
    </row>
    <row r="26" spans="2:9" ht="12.75">
      <c r="B26" s="64"/>
      <c r="C26" s="137"/>
      <c r="D26" s="111"/>
      <c r="E26" s="21"/>
      <c r="F26" s="23">
        <f>SUM(F21:F25)</f>
        <v>0</v>
      </c>
      <c r="G26" s="21"/>
      <c r="H26" s="12"/>
      <c r="I26" s="60"/>
    </row>
    <row r="27" spans="2:9" ht="8.25" customHeight="1">
      <c r="B27" s="64"/>
      <c r="C27" s="137"/>
      <c r="D27" s="111"/>
      <c r="E27" s="21"/>
      <c r="F27" s="23">
        <f>IF(F26&gt;H20,H20,F26)</f>
        <v>0</v>
      </c>
      <c r="G27" s="21"/>
      <c r="H27" s="12"/>
      <c r="I27" s="60"/>
    </row>
    <row r="28" spans="2:9" ht="12.75">
      <c r="B28" s="65"/>
      <c r="C28" s="137"/>
      <c r="D28" s="111"/>
      <c r="E28" s="17"/>
      <c r="F28" s="18"/>
      <c r="G28" s="36">
        <f>IF(1a!E13&gt;0,+G29,0)</f>
        <v>0</v>
      </c>
      <c r="H28" s="18">
        <f>+($C$4/100)*(G28/$G$63)</f>
        <v>0</v>
      </c>
      <c r="I28" s="60"/>
    </row>
    <row r="29" spans="2:9" ht="20.25" customHeight="1">
      <c r="B29" s="64"/>
      <c r="C29" s="137"/>
      <c r="D29" s="111" t="b">
        <v>0</v>
      </c>
      <c r="E29" s="17">
        <f>IF(D29=TRUE,G29,0)</f>
        <v>0</v>
      </c>
      <c r="F29" s="18">
        <f>+($C$4/100)*(E29/$G$63)</f>
        <v>0</v>
      </c>
      <c r="G29" s="22">
        <v>10</v>
      </c>
      <c r="H29" s="12"/>
      <c r="I29" s="60"/>
    </row>
    <row r="30" spans="2:9" ht="20.25" customHeight="1">
      <c r="B30" s="64"/>
      <c r="C30" s="137"/>
      <c r="D30" s="111" t="b">
        <v>0</v>
      </c>
      <c r="E30" s="17">
        <f>IF(D30=TRUE,G30,0)</f>
        <v>0</v>
      </c>
      <c r="F30" s="18">
        <f>+($C$4/100)*(E30/$G$63)</f>
        <v>0</v>
      </c>
      <c r="G30" s="22">
        <v>3</v>
      </c>
      <c r="H30" s="12"/>
      <c r="I30" s="60"/>
    </row>
    <row r="31" spans="2:9" ht="20.25" customHeight="1">
      <c r="B31" s="64"/>
      <c r="C31" s="137"/>
      <c r="D31" s="111" t="b">
        <v>0</v>
      </c>
      <c r="E31" s="17">
        <f>IF(D31=TRUE,G31,0)</f>
        <v>0</v>
      </c>
      <c r="F31" s="18">
        <f>+($C$4/100)*(E31/$G$63)</f>
        <v>0</v>
      </c>
      <c r="G31" s="22">
        <v>5</v>
      </c>
      <c r="H31" s="12"/>
      <c r="I31" s="60"/>
    </row>
    <row r="32" spans="2:9" ht="20.25" customHeight="1">
      <c r="B32" s="64"/>
      <c r="C32" s="137"/>
      <c r="D32" s="111" t="b">
        <v>0</v>
      </c>
      <c r="E32" s="17">
        <f>IF(D32=TRUE,G32,0)</f>
        <v>0</v>
      </c>
      <c r="F32" s="18">
        <f>+($C$4/100)*(E32/$G$63)</f>
        <v>0</v>
      </c>
      <c r="G32" s="22">
        <v>0</v>
      </c>
      <c r="H32" s="12"/>
      <c r="I32" s="60"/>
    </row>
    <row r="33" spans="2:9" ht="12.75">
      <c r="B33" s="64"/>
      <c r="C33" s="137"/>
      <c r="D33" s="111"/>
      <c r="E33" s="21"/>
      <c r="F33" s="23">
        <f>SUM(F29:F32)</f>
        <v>0</v>
      </c>
      <c r="G33" s="21"/>
      <c r="H33" s="12"/>
      <c r="I33" s="60"/>
    </row>
    <row r="34" spans="2:9" ht="10.5" customHeight="1">
      <c r="B34" s="64"/>
      <c r="C34" s="137"/>
      <c r="D34" s="111"/>
      <c r="E34" s="21"/>
      <c r="F34" s="23">
        <f>IF(F33&gt;H28,H28,F33)</f>
        <v>0</v>
      </c>
      <c r="G34" s="21"/>
      <c r="H34" s="12"/>
      <c r="I34" s="60"/>
    </row>
    <row r="35" spans="2:9" ht="12.75">
      <c r="B35" s="65"/>
      <c r="C35" s="137"/>
      <c r="D35" s="111"/>
      <c r="E35" s="17"/>
      <c r="F35" s="18"/>
      <c r="G35" s="36">
        <f>IF(1a!E14&gt;0,+G36,0)</f>
        <v>0</v>
      </c>
      <c r="H35" s="18">
        <f>+($C$4/100)*(G35/$G$63)</f>
        <v>0</v>
      </c>
      <c r="I35" s="60"/>
    </row>
    <row r="36" spans="2:9" ht="20.25" customHeight="1">
      <c r="B36" s="64"/>
      <c r="C36" s="137"/>
      <c r="D36" s="111" t="b">
        <v>0</v>
      </c>
      <c r="E36" s="17">
        <f>IF(D36=TRUE,G36,0)</f>
        <v>0</v>
      </c>
      <c r="F36" s="18">
        <f>+($C$4/100)*(E36/$G$63)</f>
        <v>0</v>
      </c>
      <c r="G36" s="22">
        <v>10</v>
      </c>
      <c r="H36" s="12"/>
      <c r="I36" s="60"/>
    </row>
    <row r="37" spans="2:9" ht="20.25" customHeight="1">
      <c r="B37" s="64"/>
      <c r="C37" s="137"/>
      <c r="D37" s="111" t="b">
        <v>0</v>
      </c>
      <c r="E37" s="17">
        <f>IF(D37=TRUE,G37,0)</f>
        <v>0</v>
      </c>
      <c r="F37" s="18">
        <f>+($C$4/100)*(E37/$G$63)</f>
        <v>0</v>
      </c>
      <c r="G37" s="22">
        <v>3</v>
      </c>
      <c r="H37" s="12"/>
      <c r="I37" s="60"/>
    </row>
    <row r="38" spans="2:9" ht="20.25" customHeight="1">
      <c r="B38" s="64"/>
      <c r="C38" s="137"/>
      <c r="D38" s="111" t="b">
        <v>0</v>
      </c>
      <c r="E38" s="17">
        <f>IF(D38=TRUE,G38,0)</f>
        <v>0</v>
      </c>
      <c r="F38" s="18">
        <f>+($C$4/100)*(E38/$G$63)</f>
        <v>0</v>
      </c>
      <c r="G38" s="22">
        <v>5</v>
      </c>
      <c r="H38" s="12"/>
      <c r="I38" s="60"/>
    </row>
    <row r="39" spans="2:9" ht="20.25" customHeight="1">
      <c r="B39" s="64"/>
      <c r="C39" s="137"/>
      <c r="D39" s="111" t="b">
        <v>0</v>
      </c>
      <c r="E39" s="17">
        <f>IF(D39=TRUE,G39,0)</f>
        <v>0</v>
      </c>
      <c r="F39" s="18">
        <f>+($C$4/100)*(E39/$G$63)</f>
        <v>0</v>
      </c>
      <c r="G39" s="22">
        <v>0</v>
      </c>
      <c r="H39" s="12"/>
      <c r="I39" s="60"/>
    </row>
    <row r="40" spans="2:9" ht="12.75">
      <c r="B40" s="64"/>
      <c r="C40" s="137"/>
      <c r="D40" s="111"/>
      <c r="E40" s="21"/>
      <c r="F40" s="23">
        <f>SUM(F36:F39)</f>
        <v>0</v>
      </c>
      <c r="G40" s="21"/>
      <c r="H40" s="12"/>
      <c r="I40" s="60"/>
    </row>
    <row r="41" spans="2:9" ht="7.5" customHeight="1">
      <c r="B41" s="64"/>
      <c r="C41" s="137"/>
      <c r="D41" s="111"/>
      <c r="E41" s="21"/>
      <c r="F41" s="23">
        <f>IF(F40&gt;H35,H35,F40)</f>
        <v>0</v>
      </c>
      <c r="G41" s="21"/>
      <c r="H41" s="12"/>
      <c r="I41" s="60"/>
    </row>
    <row r="42" spans="2:9" ht="12.75">
      <c r="B42" s="65"/>
      <c r="C42" s="137"/>
      <c r="D42" s="111"/>
      <c r="E42" s="21"/>
      <c r="F42" s="23"/>
      <c r="G42" s="21">
        <f>IF(1a!E16&gt;0,+G44+G46,0)</f>
        <v>0</v>
      </c>
      <c r="H42" s="18">
        <f>+($C$4/100)*(G42/$G$63)</f>
        <v>0</v>
      </c>
      <c r="I42" s="60"/>
    </row>
    <row r="43" spans="2:9" ht="20.25" customHeight="1">
      <c r="B43" s="64"/>
      <c r="C43" s="137"/>
      <c r="D43" s="111" t="b">
        <v>0</v>
      </c>
      <c r="E43" s="17">
        <f>IF(D43=TRUE,G43,0)</f>
        <v>0</v>
      </c>
      <c r="F43" s="18">
        <f>+($C$4/100)*(E43/$G$63)</f>
        <v>0</v>
      </c>
      <c r="G43" s="22">
        <v>8</v>
      </c>
      <c r="H43" s="12"/>
      <c r="I43" s="60"/>
    </row>
    <row r="44" spans="2:9" ht="20.25" customHeight="1">
      <c r="B44" s="64"/>
      <c r="C44" s="137"/>
      <c r="D44" s="111" t="b">
        <v>0</v>
      </c>
      <c r="E44" s="17">
        <f>IF(D44=TRUE,G44,0)</f>
        <v>0</v>
      </c>
      <c r="F44" s="18">
        <f>+($C$4/100)*(E44/$G$63)</f>
        <v>0</v>
      </c>
      <c r="G44" s="22">
        <v>10</v>
      </c>
      <c r="H44" s="12"/>
      <c r="I44" s="60"/>
    </row>
    <row r="45" spans="2:9" ht="20.25" customHeight="1">
      <c r="B45" s="64"/>
      <c r="C45" s="137"/>
      <c r="D45" s="111" t="b">
        <v>0</v>
      </c>
      <c r="E45" s="17">
        <f>IF(D45=TRUE,G45,0)</f>
        <v>0</v>
      </c>
      <c r="F45" s="18">
        <f>+($C$4/100)*(E45/$G$63)</f>
        <v>0</v>
      </c>
      <c r="G45" s="22">
        <v>0</v>
      </c>
      <c r="H45" s="12"/>
      <c r="I45" s="60"/>
    </row>
    <row r="46" spans="2:9" ht="20.25" customHeight="1">
      <c r="B46" s="64"/>
      <c r="C46" s="137"/>
      <c r="D46" s="111" t="b">
        <v>0</v>
      </c>
      <c r="E46" s="17">
        <f>IF(D46=TRUE,G46,0)</f>
        <v>0</v>
      </c>
      <c r="F46" s="18">
        <f>+($C$4/100)*(E46/$G$63)</f>
        <v>0</v>
      </c>
      <c r="G46" s="22">
        <v>10</v>
      </c>
      <c r="H46" s="12"/>
      <c r="I46" s="60"/>
    </row>
    <row r="47" spans="2:9" ht="20.25" customHeight="1">
      <c r="B47" s="64"/>
      <c r="C47" s="137"/>
      <c r="D47" s="111" t="b">
        <v>0</v>
      </c>
      <c r="E47" s="17">
        <f>IF(D47=TRUE,G47,0)</f>
        <v>0</v>
      </c>
      <c r="F47" s="18">
        <f>+($C$4/100)*(E47/$G$63)</f>
        <v>0</v>
      </c>
      <c r="G47" s="22">
        <v>5</v>
      </c>
      <c r="H47" s="12"/>
      <c r="I47" s="60"/>
    </row>
    <row r="48" spans="2:9" ht="12.75">
      <c r="B48" s="64"/>
      <c r="C48" s="137"/>
      <c r="D48" s="111"/>
      <c r="E48" s="21"/>
      <c r="F48" s="23">
        <f>SUM(F43:F47)</f>
        <v>0</v>
      </c>
      <c r="G48" s="21"/>
      <c r="H48" s="12"/>
      <c r="I48" s="60"/>
    </row>
    <row r="49" spans="2:9" ht="10.5" customHeight="1">
      <c r="B49" s="64"/>
      <c r="C49" s="137"/>
      <c r="D49" s="111"/>
      <c r="E49" s="21"/>
      <c r="F49" s="23">
        <f>IF(F48&gt;H42,H42,F48)</f>
        <v>0</v>
      </c>
      <c r="G49" s="21"/>
      <c r="H49" s="12"/>
      <c r="I49" s="60"/>
    </row>
    <row r="50" spans="2:9" ht="12.75">
      <c r="B50" s="65"/>
      <c r="C50" s="137"/>
      <c r="D50" s="111"/>
      <c r="E50" s="21"/>
      <c r="F50" s="23"/>
      <c r="G50" s="21">
        <f>IF(1a!E15&gt;0,G52+G53,0)</f>
        <v>0</v>
      </c>
      <c r="H50" s="18">
        <f>+($C$4/100)*(G50/$G$63)</f>
        <v>0</v>
      </c>
      <c r="I50" s="60"/>
    </row>
    <row r="51" spans="2:9" ht="20.25" customHeight="1">
      <c r="B51" s="64"/>
      <c r="C51" s="137"/>
      <c r="D51" s="111" t="b">
        <v>0</v>
      </c>
      <c r="E51" s="17">
        <f>IF(D51=TRUE,G51,0)</f>
        <v>0</v>
      </c>
      <c r="F51" s="18">
        <f>+($C$4/100)*(E51/$G$63)</f>
        <v>0</v>
      </c>
      <c r="G51" s="22">
        <v>3</v>
      </c>
      <c r="H51" s="12"/>
      <c r="I51" s="60"/>
    </row>
    <row r="52" spans="2:9" ht="20.25" customHeight="1">
      <c r="B52" s="64"/>
      <c r="C52" s="137"/>
      <c r="D52" s="111" t="b">
        <v>0</v>
      </c>
      <c r="E52" s="17">
        <f>IF(D52=TRUE,G52,0)</f>
        <v>0</v>
      </c>
      <c r="F52" s="18">
        <f>+($C$4/100)*(E52/$G$63)</f>
        <v>0</v>
      </c>
      <c r="G52" s="22">
        <v>15</v>
      </c>
      <c r="H52" s="12"/>
      <c r="I52" s="60"/>
    </row>
    <row r="53" spans="2:9" ht="20.25" customHeight="1">
      <c r="B53" s="64"/>
      <c r="C53" s="137"/>
      <c r="D53" s="111" t="b">
        <v>0</v>
      </c>
      <c r="E53" s="17">
        <f>IF(D53=TRUE,G53,0)</f>
        <v>0</v>
      </c>
      <c r="F53" s="18">
        <f>+($C$4/100)*(E53/$G$63)</f>
        <v>0</v>
      </c>
      <c r="G53" s="22">
        <v>0</v>
      </c>
      <c r="H53" s="12"/>
      <c r="I53" s="60"/>
    </row>
    <row r="54" spans="2:9" ht="20.25" customHeight="1">
      <c r="B54" s="64"/>
      <c r="C54" s="137"/>
      <c r="D54" s="111"/>
      <c r="E54" s="21"/>
      <c r="F54" s="23">
        <f>SUM(F51:F53)</f>
        <v>0</v>
      </c>
      <c r="G54" s="21"/>
      <c r="H54" s="12"/>
      <c r="I54" s="60"/>
    </row>
    <row r="55" spans="2:9" ht="9.75" customHeight="1">
      <c r="B55" s="64"/>
      <c r="C55" s="137"/>
      <c r="D55" s="111"/>
      <c r="E55" s="21"/>
      <c r="F55" s="23">
        <f>IF(F54&gt;H50,H50,F54)</f>
        <v>0</v>
      </c>
      <c r="G55" s="21"/>
      <c r="H55" s="12"/>
      <c r="I55" s="60"/>
    </row>
    <row r="56" spans="2:9" ht="12.75">
      <c r="B56" s="65"/>
      <c r="C56" s="137"/>
      <c r="D56" s="111"/>
      <c r="E56" s="21"/>
      <c r="F56" s="23"/>
      <c r="G56" s="21">
        <f>IF(1a!E24&gt;0,G58+G60,0)</f>
        <v>0</v>
      </c>
      <c r="H56" s="18">
        <f>+($C$4/100)*(G56/$G$63)</f>
        <v>0</v>
      </c>
      <c r="I56" s="60"/>
    </row>
    <row r="57" spans="2:9" ht="20.25" customHeight="1">
      <c r="B57" s="64"/>
      <c r="C57" s="137"/>
      <c r="D57" s="111" t="b">
        <v>0</v>
      </c>
      <c r="E57" s="17">
        <f>IF(D57=TRUE,G57,0)</f>
        <v>0</v>
      </c>
      <c r="F57" s="18">
        <f>+($C$4/100)*(E57/$G$63)</f>
        <v>0</v>
      </c>
      <c r="G57" s="22">
        <v>0</v>
      </c>
      <c r="H57" s="12"/>
      <c r="I57" s="60"/>
    </row>
    <row r="58" spans="2:9" ht="20.25" customHeight="1">
      <c r="B58" s="64"/>
      <c r="C58" s="137"/>
      <c r="D58" s="111" t="b">
        <v>0</v>
      </c>
      <c r="E58" s="17">
        <f>IF(D58=TRUE,G58,0)</f>
        <v>0</v>
      </c>
      <c r="F58" s="18">
        <f>+($C$4/100)*(E58/$G$63)</f>
        <v>0</v>
      </c>
      <c r="G58" s="22">
        <v>20</v>
      </c>
      <c r="H58" s="12"/>
      <c r="I58" s="60"/>
    </row>
    <row r="59" spans="2:9" ht="20.25" customHeight="1">
      <c r="B59" s="64"/>
      <c r="C59" s="137"/>
      <c r="D59" s="111" t="b">
        <v>0</v>
      </c>
      <c r="E59" s="17">
        <f>IF(D59=TRUE,G59,0)</f>
        <v>0</v>
      </c>
      <c r="F59" s="18">
        <f>+($C$4/100)*(E59/$G$63)</f>
        <v>0</v>
      </c>
      <c r="G59" s="22">
        <v>15</v>
      </c>
      <c r="H59" s="12"/>
      <c r="I59" s="60"/>
    </row>
    <row r="60" spans="2:9" ht="20.25" customHeight="1">
      <c r="B60" s="64"/>
      <c r="C60" s="137"/>
      <c r="D60" s="111" t="b">
        <v>0</v>
      </c>
      <c r="E60" s="17">
        <f>IF(D60=TRUE,G60,0)</f>
        <v>0</v>
      </c>
      <c r="F60" s="18">
        <f>+($C$4/100)*(E60/$G$63)</f>
        <v>0</v>
      </c>
      <c r="G60" s="22">
        <v>10</v>
      </c>
      <c r="H60" s="12"/>
      <c r="I60" s="60"/>
    </row>
    <row r="61" spans="2:9" ht="12.75">
      <c r="B61" s="64"/>
      <c r="C61" s="137"/>
      <c r="D61" s="111"/>
      <c r="E61" s="21"/>
      <c r="F61" s="23">
        <f>SUM(F57:F60)</f>
        <v>0</v>
      </c>
      <c r="G61" s="21"/>
      <c r="H61" s="12"/>
      <c r="I61" s="60"/>
    </row>
    <row r="62" spans="2:9" ht="12.75">
      <c r="B62" s="154" t="s">
        <v>343</v>
      </c>
      <c r="C62" s="137"/>
      <c r="D62" s="111"/>
      <c r="E62" s="21"/>
      <c r="F62" s="23">
        <f>IF(F61&gt;H56,H56,F61)</f>
        <v>0</v>
      </c>
      <c r="G62" s="21"/>
      <c r="H62" s="12"/>
      <c r="I62" s="60"/>
    </row>
    <row r="63" spans="1:7" ht="12.75" hidden="1">
      <c r="A63" s="69"/>
      <c r="B63" s="76" t="s">
        <v>50</v>
      </c>
      <c r="E63" s="8">
        <f>SUM(E12:E62)</f>
        <v>0</v>
      </c>
      <c r="F63" s="38">
        <f>+F19+F27+F34+F41+F49+F55+F62</f>
        <v>0</v>
      </c>
      <c r="G63" s="8">
        <f>IF(+G11+G20+G28+G35+G42+G50+G56&gt;0,+G11+G20+G28+G35+G42+G50+G56,1)</f>
        <v>20</v>
      </c>
    </row>
    <row r="64" spans="1:2" ht="12.75" hidden="1">
      <c r="A64" s="69"/>
      <c r="B64" s="76"/>
    </row>
    <row r="65" spans="1:6" ht="12.75" hidden="1">
      <c r="A65" s="69"/>
      <c r="B65" s="76" t="s">
        <v>81</v>
      </c>
      <c r="C65" s="48"/>
      <c r="D65" s="2"/>
      <c r="E65" s="2"/>
      <c r="F65" s="28">
        <f>+F63*100</f>
        <v>0</v>
      </c>
    </row>
  </sheetData>
  <sheetProtection/>
  <mergeCells count="2">
    <mergeCell ref="B8:C8"/>
    <mergeCell ref="B6:C6"/>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IPM-pointskema</dc:title>
  <dc:subject/>
  <dc:creator>Poul Henning Peterse</dc:creator>
  <cp:keywords/>
  <dc:description/>
  <cp:lastModifiedBy>Pia</cp:lastModifiedBy>
  <cp:lastPrinted>2011-12-14T15:04:32Z</cp:lastPrinted>
  <dcterms:created xsi:type="dcterms:W3CDTF">2010-09-26T19:31:17Z</dcterms:created>
  <dcterms:modified xsi:type="dcterms:W3CDTF">2013-11-14T07:49:52Z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ArticleStartDa">
    <vt:lpwstr>2013-11-14T00:00:00Z</vt:lpwstr>
  </property>
  <property fmtid="{D5CDD505-2E9C-101B-9397-08002B2CF9AE}" pid="4" name="PublishingPageConte">
    <vt:lpwstr/>
  </property>
  <property fmtid="{D5CDD505-2E9C-101B-9397-08002B2CF9AE}" pid="5" name="Revisionsda">
    <vt:lpwstr>2012-01-20T11:39:00Z</vt:lpwstr>
  </property>
  <property fmtid="{D5CDD505-2E9C-101B-9397-08002B2CF9AE}" pid="6" name="HideInRollu">
    <vt:lpwstr>1</vt:lpwstr>
  </property>
  <property fmtid="{D5CDD505-2E9C-101B-9397-08002B2CF9AE}" pid="7" name="Projekt">
    <vt:lpwstr/>
  </property>
  <property fmtid="{D5CDD505-2E9C-101B-9397-08002B2CF9AE}" pid="8" name="Ansvarligafdeli">
    <vt:lpwstr>33</vt:lpwstr>
  </property>
  <property fmtid="{D5CDD505-2E9C-101B-9397-08002B2CF9AE}" pid="9" name="Informationsser">
    <vt:lpwstr/>
  </property>
  <property fmtid="{D5CDD505-2E9C-101B-9397-08002B2CF9AE}" pid="10" name="PublishingRollupIma">
    <vt:lpwstr/>
  </property>
  <property fmtid="{D5CDD505-2E9C-101B-9397-08002B2CF9AE}" pid="11" name="Noegleo">
    <vt:lpwstr/>
  </property>
  <property fmtid="{D5CDD505-2E9C-101B-9397-08002B2CF9AE}" pid="12" name="Audien">
    <vt:lpwstr/>
  </property>
  <property fmtid="{D5CDD505-2E9C-101B-9397-08002B2CF9AE}" pid="13" name="Sprogva">
    <vt:lpwstr>2</vt:lpwstr>
  </property>
  <property fmtid="{D5CDD505-2E9C-101B-9397-08002B2CF9AE}" pid="14" name="ArticleByLi">
    <vt:lpwstr/>
  </property>
  <property fmtid="{D5CDD505-2E9C-101B-9397-08002B2CF9AE}" pid="15" name="Bekraeftelsesda">
    <vt:lpwstr>2012-01-20T11:39:00Z</vt:lpwstr>
  </property>
  <property fmtid="{D5CDD505-2E9C-101B-9397-08002B2CF9AE}" pid="16" name="HitCou">
    <vt:lpwstr>0</vt:lpwstr>
  </property>
  <property fmtid="{D5CDD505-2E9C-101B-9397-08002B2CF9AE}" pid="17" name="PublishingImageCapti">
    <vt:lpwstr/>
  </property>
  <property fmtid="{D5CDD505-2E9C-101B-9397-08002B2CF9AE}" pid="18" name="NetSkabelonVal">
    <vt:lpwstr/>
  </property>
  <property fmtid="{D5CDD505-2E9C-101B-9397-08002B2CF9AE}" pid="19" name="PublishingContactEma">
    <vt:lpwstr/>
  </property>
  <property fmtid="{D5CDD505-2E9C-101B-9397-08002B2CF9AE}" pid="20" name="Arkiveringsda">
    <vt:lpwstr>2013-01-19T00:00:00Z</vt:lpwstr>
  </property>
  <property fmtid="{D5CDD505-2E9C-101B-9397-08002B2CF9AE}" pid="21" name="GammelU">
    <vt:lpwstr/>
  </property>
  <property fmtid="{D5CDD505-2E9C-101B-9397-08002B2CF9AE}" pid="22" name="PublishingPageIma">
    <vt:lpwstr/>
  </property>
  <property fmtid="{D5CDD505-2E9C-101B-9397-08002B2CF9AE}" pid="23" name="SummaryLin">
    <vt:lpwstr>&lt;div title="_schemaversion" id="_3"&gt;
  &lt;div title="_view"&gt;
    &lt;span title="_columns"&gt;1&lt;/span&gt;
    &lt;span title="_linkstyle"&gt;&lt;/span&gt;
    &lt;span title="_groupstyle"&gt;&lt;/span&gt;
  &lt;/div&gt;
&lt;/div&gt;</vt:lpwstr>
  </property>
  <property fmtid="{D5CDD505-2E9C-101B-9397-08002B2CF9AE}" pid="24" name="Forfatte">
    <vt:lpwstr>15148;#i:0e.t|dlbr idp|lcphp@prod.dli</vt:lpwstr>
  </property>
  <property fmtid="{D5CDD505-2E9C-101B-9397-08002B2CF9AE}" pid="25" name="PublishingContactPictu">
    <vt:lpwstr/>
  </property>
  <property fmtid="{D5CDD505-2E9C-101B-9397-08002B2CF9AE}" pid="26" name="Ingen besked ved arkiveri">
    <vt:lpwstr>1</vt:lpwstr>
  </property>
  <property fmtid="{D5CDD505-2E9C-101B-9397-08002B2CF9AE}" pid="27" name="WebInfoMultiSele">
    <vt:lpwstr/>
  </property>
  <property fmtid="{D5CDD505-2E9C-101B-9397-08002B2CF9AE}" pid="28" name="PublishingContactNa">
    <vt:lpwstr/>
  </property>
  <property fmtid="{D5CDD505-2E9C-101B-9397-08002B2CF9AE}" pid="29" name="Rettighedsgrup">
    <vt:lpwstr>1</vt:lpwstr>
  </property>
  <property fmtid="{D5CDD505-2E9C-101B-9397-08002B2CF9AE}" pid="30" name="Commen">
    <vt:lpwstr/>
  </property>
  <property fmtid="{D5CDD505-2E9C-101B-9397-08002B2CF9AE}" pid="31" name="display_urn:schemas-microsoft-com:office:office#Forfatte">
    <vt:lpwstr>Poul Henning Petersen (LCPHP)</vt:lpwstr>
  </property>
  <property fmtid="{D5CDD505-2E9C-101B-9397-08002B2CF9AE}" pid="32" name="Listeko">
    <vt:lpwstr/>
  </property>
  <property fmtid="{D5CDD505-2E9C-101B-9397-08002B2CF9AE}" pid="33" name="Numm">
    <vt:lpwstr/>
  </property>
  <property fmtid="{D5CDD505-2E9C-101B-9397-08002B2CF9AE}" pid="34" name="Afsend">
    <vt:lpwstr>2</vt:lpwstr>
  </property>
  <property fmtid="{D5CDD505-2E9C-101B-9397-08002B2CF9AE}" pid="35" name="EnclosureF">
    <vt:lpwstr/>
  </property>
  <property fmtid="{D5CDD505-2E9C-101B-9397-08002B2CF9AE}" pid="36" name="AllowCommen">
    <vt:lpwstr>1</vt:lpwstr>
  </property>
  <property fmtid="{D5CDD505-2E9C-101B-9397-08002B2CF9AE}" pid="37" name="DisplayCommen">
    <vt:lpwstr>1</vt:lpwstr>
  </property>
  <property fmtid="{D5CDD505-2E9C-101B-9397-08002B2CF9AE}" pid="38" name="_dlc_Doc">
    <vt:lpwstr>LBINFO-2950-67</vt:lpwstr>
  </property>
  <property fmtid="{D5CDD505-2E9C-101B-9397-08002B2CF9AE}" pid="39" name="_dlc_DocIdU">
    <vt:lpwstr>https://www.landbrugsinfo.dk/Planteavl/Plantevaern/IPM/_layouts/DocIdRedir.aspx?ID=LBINFO-2950-67, LBINFO-2950-67</vt:lpwstr>
  </property>
  <property fmtid="{D5CDD505-2E9C-101B-9397-08002B2CF9AE}" pid="40" name="_dlc_DocIdItemGu">
    <vt:lpwstr>84054b6f-f295-4082-aef5-3200d2cc1346</vt:lpwstr>
  </property>
</Properties>
</file>