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Marketing&amp;Fagkom\02_Digital Udvikling\02 landbrugsinfo_drift\2023\Grise\Management\#06_feb_beregning_okonomi_sanering_luftvejssygdomme_griseproduktion\"/>
    </mc:Choice>
  </mc:AlternateContent>
  <xr:revisionPtr revIDLastSave="0" documentId="8_{621AA66F-FBCF-4C06-932C-0EAFC494ED17}" xr6:coauthVersionLast="47" xr6:coauthVersionMax="47" xr10:uidLastSave="{00000000-0000-0000-0000-000000000000}"/>
  <bookViews>
    <workbookView xWindow="-110" yWindow="-110" windowWidth="19420" windowHeight="10420" tabRatio="841" xr2:uid="{569E22F6-A442-4EC6-A670-03A614F16CD3}"/>
  </bookViews>
  <sheets>
    <sheet name="Introduktion og vejledning" sheetId="17" r:id="rId1"/>
    <sheet name="So lokalitet" sheetId="2" r:id="rId2"/>
    <sheet name="Vækst lokalitet" sheetId="5" r:id="rId3"/>
    <sheet name="DC-fradragsmodel" sheetId="18" state="hidden" r:id="rId4"/>
    <sheet name="Sanerings skitser" sheetId="7" state="hidden" r:id="rId5"/>
  </sheets>
  <externalReferences>
    <externalReference r:id="rId6"/>
  </externalReferences>
  <definedNames>
    <definedName name="_AMO_UniqueIdentifier" hidden="1">"'7fa8b8a6-bdbb-4989-8da0-81ac025273b3'"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xlnm._FilterDatabase" localSheetId="1" hidden="1">'So lokalitet'!$A$1:$A$158</definedName>
    <definedName name="_xlnm._FilterDatabase" localSheetId="2" hidden="1">'Vækst lokalitet'!$A$1:$A$136</definedName>
    <definedName name="Finansieringsandel_30_kg">[1]Smågrisepriser!$B$9</definedName>
    <definedName name="Finansieringssandel_7_kg">[1]Smågrisepriser!$B$8</definedName>
    <definedName name="Normtal_slagtevægt">[1]Smågrisepriser!$B$6</definedName>
    <definedName name="Nulpunktstabel">[1]Smågrisepriser!$A$60:$K$231</definedName>
    <definedName name="Pal_Workbook_GUID" hidden="1">"7BHZEVX6P9BN6EKC9FWL3SIZ"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_xlnm.Print_Area" localSheetId="0">'Introduktion og vejledning'!$A$1:$G$35</definedName>
    <definedName name="_xlnm.Print_Area" localSheetId="1">'So lokalitet'!$C$107:$H$159</definedName>
    <definedName name="_xlnm.Print_Area" localSheetId="2">'Vækst lokalitet'!$C$97:$I$136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8" i="2" l="1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95" i="5"/>
  <c r="C135" i="5"/>
  <c r="E45" i="5"/>
  <c r="G34" i="5"/>
  <c r="C112" i="2"/>
  <c r="C10" i="2"/>
  <c r="F10" i="18"/>
  <c r="F9" i="18"/>
  <c r="F8" i="18"/>
  <c r="F7" i="18"/>
  <c r="D35" i="5"/>
  <c r="D46" i="5" s="1"/>
  <c r="E105" i="5" l="1"/>
  <c r="E104" i="5"/>
  <c r="E103" i="5"/>
  <c r="E74" i="5"/>
  <c r="D73" i="5"/>
  <c r="D72" i="5"/>
  <c r="D71" i="5"/>
  <c r="E115" i="5"/>
  <c r="D115" i="5"/>
  <c r="D111" i="5"/>
  <c r="F105" i="5"/>
  <c r="F104" i="5"/>
  <c r="F103" i="5"/>
  <c r="F102" i="5"/>
  <c r="D105" i="5"/>
  <c r="D104" i="5"/>
  <c r="D103" i="5"/>
  <c r="E53" i="5"/>
  <c r="H54" i="5"/>
  <c r="H53" i="5"/>
  <c r="H35" i="5"/>
  <c r="C9" i="5"/>
  <c r="D112" i="2"/>
  <c r="G119" i="2"/>
  <c r="G118" i="2"/>
  <c r="G117" i="2"/>
  <c r="G124" i="2"/>
  <c r="C131" i="2"/>
  <c r="D46" i="2"/>
  <c r="H119" i="2" s="1"/>
  <c r="H95" i="2"/>
  <c r="H96" i="2"/>
  <c r="E95" i="2"/>
  <c r="C139" i="2" l="1"/>
  <c r="H117" i="2"/>
  <c r="H118" i="2"/>
  <c r="D102" i="2" l="1"/>
  <c r="D197" i="5" l="1"/>
  <c r="D196" i="5"/>
  <c r="D195" i="5"/>
  <c r="D194" i="5"/>
  <c r="D193" i="5"/>
  <c r="E207" i="5" s="1"/>
  <c r="D192" i="5"/>
  <c r="E203" i="5" s="1"/>
  <c r="D191" i="5"/>
  <c r="E81" i="5"/>
  <c r="C81" i="5"/>
  <c r="C79" i="5"/>
  <c r="E69" i="5"/>
  <c r="E68" i="5"/>
  <c r="E78" i="5" s="1"/>
  <c r="D77" i="2"/>
  <c r="C72" i="2"/>
  <c r="D212" i="2"/>
  <c r="D211" i="2"/>
  <c r="D210" i="2"/>
  <c r="D209" i="2"/>
  <c r="D208" i="2"/>
  <c r="D207" i="2"/>
  <c r="D206" i="2"/>
  <c r="F66" i="2"/>
  <c r="E65" i="2"/>
  <c r="E64" i="2"/>
  <c r="F74" i="2"/>
  <c r="E74" i="2"/>
  <c r="C74" i="2"/>
  <c r="D83" i="5" l="1"/>
  <c r="D213" i="2"/>
  <c r="G218" i="2" s="1"/>
  <c r="G217" i="2" s="1"/>
  <c r="F202" i="5"/>
  <c r="D198" i="5"/>
  <c r="E70" i="5"/>
  <c r="E83" i="5" s="1"/>
  <c r="E222" i="2"/>
  <c r="E218" i="2"/>
  <c r="F217" i="2" s="1"/>
  <c r="G207" i="5" l="1"/>
  <c r="F207" i="5" s="1"/>
  <c r="G204" i="5"/>
  <c r="G206" i="5"/>
  <c r="G205" i="5"/>
  <c r="G203" i="5"/>
  <c r="G219" i="2"/>
  <c r="G220" i="2"/>
  <c r="G221" i="2"/>
  <c r="G222" i="2"/>
  <c r="E217" i="2"/>
  <c r="F218" i="2"/>
  <c r="D71" i="2" s="1"/>
  <c r="D78" i="2" s="1"/>
  <c r="H124" i="2" s="1"/>
  <c r="F58" i="2"/>
  <c r="D76" i="2"/>
  <c r="F59" i="2"/>
  <c r="E59" i="2"/>
  <c r="E76" i="2" s="1"/>
  <c r="F60" i="2" l="1"/>
  <c r="F76" i="2" s="1"/>
  <c r="F71" i="2"/>
  <c r="G202" i="5"/>
  <c r="E202" i="5" s="1"/>
  <c r="F203" i="5"/>
  <c r="E73" i="2"/>
  <c r="E75" i="2" s="1"/>
  <c r="E219" i="2"/>
  <c r="F219" i="2" s="1"/>
  <c r="E220" i="2" s="1"/>
  <c r="F220" i="2" s="1"/>
  <c r="E221" i="2" s="1"/>
  <c r="F221" i="2" s="1"/>
  <c r="F222" i="2" s="1"/>
  <c r="E71" i="2" s="1"/>
  <c r="E78" i="2" l="1"/>
  <c r="H125" i="2" s="1"/>
  <c r="E204" i="5"/>
  <c r="F204" i="5" s="1"/>
  <c r="E205" i="5" s="1"/>
  <c r="F205" i="5" s="1"/>
  <c r="E206" i="5" s="1"/>
  <c r="F206" i="5" s="1"/>
  <c r="D80" i="5"/>
  <c r="D82" i="5" s="1"/>
  <c r="F73" i="2"/>
  <c r="F75" i="2" s="1"/>
  <c r="F78" i="2" s="1"/>
  <c r="H126" i="2" s="1"/>
  <c r="E80" i="5" l="1"/>
  <c r="E82" i="5" s="1"/>
  <c r="E85" i="5" s="1"/>
  <c r="E111" i="5" s="1"/>
  <c r="D78" i="5"/>
  <c r="D85" i="5" s="1"/>
  <c r="E110" i="5" s="1"/>
  <c r="D52" i="2" l="1"/>
  <c r="G125" i="2" s="1"/>
  <c r="C6" i="2"/>
  <c r="D61" i="5"/>
  <c r="F166" i="2"/>
  <c r="E166" i="2"/>
  <c r="D166" i="2"/>
  <c r="N49" i="7" l="1"/>
  <c r="N48" i="7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F60" i="7" s="1"/>
  <c r="F61" i="7" s="1"/>
  <c r="F62" i="7" s="1"/>
  <c r="F63" i="7" s="1"/>
  <c r="F64" i="7" s="1"/>
  <c r="F65" i="7" s="1"/>
  <c r="F66" i="7" s="1"/>
  <c r="F67" i="7" s="1"/>
  <c r="F68" i="7" s="1"/>
  <c r="F69" i="7" s="1"/>
  <c r="F70" i="7" s="1"/>
  <c r="F71" i="7" s="1"/>
  <c r="F72" i="7" s="1"/>
  <c r="F73" i="7" s="1"/>
  <c r="F74" i="7" s="1"/>
  <c r="F75" i="7" s="1"/>
  <c r="F76" i="7" s="1"/>
  <c r="F77" i="7" s="1"/>
  <c r="F78" i="7" s="1"/>
  <c r="F79" i="7" s="1"/>
  <c r="F80" i="7" s="1"/>
  <c r="F14" i="7"/>
  <c r="H24" i="7"/>
  <c r="H23" i="7"/>
  <c r="H22" i="7"/>
  <c r="H21" i="7"/>
  <c r="H20" i="7"/>
  <c r="H19" i="7"/>
  <c r="H18" i="7"/>
  <c r="H17" i="7"/>
  <c r="H16" i="7"/>
  <c r="H15" i="7"/>
  <c r="H14" i="7"/>
  <c r="H13" i="7"/>
  <c r="H25" i="7"/>
  <c r="I78" i="7"/>
  <c r="I79" i="7" s="1"/>
  <c r="I80" i="7" s="1"/>
  <c r="I77" i="7"/>
  <c r="I66" i="7"/>
  <c r="I67" i="7" s="1"/>
  <c r="I68" i="7" s="1"/>
  <c r="I69" i="7" s="1"/>
  <c r="I70" i="7" s="1"/>
  <c r="I71" i="7" s="1"/>
  <c r="I72" i="7" s="1"/>
  <c r="I73" i="7" s="1"/>
  <c r="I74" i="7" s="1"/>
  <c r="I75" i="7" s="1"/>
  <c r="I76" i="7" s="1"/>
  <c r="I65" i="7"/>
  <c r="H66" i="7"/>
  <c r="H67" i="7" s="1"/>
  <c r="H68" i="7" s="1"/>
  <c r="H69" i="7" s="1"/>
  <c r="H70" i="7" s="1"/>
  <c r="H71" i="7" s="1"/>
  <c r="H72" i="7" s="1"/>
  <c r="H73" i="7" s="1"/>
  <c r="H74" i="7" s="1"/>
  <c r="H75" i="7" s="1"/>
  <c r="H76" i="7" s="1"/>
  <c r="H77" i="7" s="1"/>
  <c r="H78" i="7" s="1"/>
  <c r="H79" i="7" s="1"/>
  <c r="H80" i="7" s="1"/>
  <c r="H65" i="7"/>
  <c r="H64" i="7"/>
  <c r="H58" i="7"/>
  <c r="H59" i="7" s="1"/>
  <c r="H60" i="7" s="1"/>
  <c r="H61" i="7" s="1"/>
  <c r="H62" i="7" s="1"/>
  <c r="H63" i="7" s="1"/>
  <c r="H57" i="7"/>
  <c r="I21" i="7"/>
  <c r="I25" i="7"/>
  <c r="I24" i="7"/>
  <c r="I23" i="7"/>
  <c r="I22" i="7"/>
  <c r="I33" i="7"/>
  <c r="I32" i="7"/>
  <c r="I31" i="7" s="1"/>
  <c r="I30" i="7" s="1"/>
  <c r="I29" i="7" s="1"/>
  <c r="I28" i="7" s="1"/>
  <c r="I27" i="7" s="1"/>
  <c r="I26" i="7" s="1"/>
  <c r="H31" i="7"/>
  <c r="H30" i="7" s="1"/>
  <c r="H29" i="7" s="1"/>
  <c r="H28" i="7" s="1"/>
  <c r="H27" i="7" s="1"/>
  <c r="H26" i="7" s="1"/>
  <c r="H32" i="7"/>
  <c r="H33" i="7"/>
  <c r="G55" i="7"/>
  <c r="G37" i="7"/>
  <c r="G38" i="7" s="1"/>
  <c r="G39" i="7" s="1"/>
  <c r="G40" i="7" s="1"/>
  <c r="G41" i="7" s="1"/>
  <c r="G42" i="7" s="1"/>
  <c r="G43" i="7" s="1"/>
  <c r="G44" i="7" s="1"/>
  <c r="G45" i="7" s="1"/>
  <c r="G46" i="7" s="1"/>
  <c r="G47" i="7" s="1"/>
  <c r="G48" i="7" s="1"/>
  <c r="G49" i="7" s="1"/>
  <c r="G50" i="7" s="1"/>
  <c r="G51" i="7" s="1"/>
  <c r="G52" i="7" s="1"/>
  <c r="G53" i="7" s="1"/>
  <c r="G54" i="7" s="1"/>
  <c r="G36" i="7"/>
  <c r="G15" i="7"/>
  <c r="G16" i="7" s="1"/>
  <c r="G17" i="7" s="1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28" i="7" s="1"/>
  <c r="G29" i="7" s="1"/>
  <c r="G30" i="7" s="1"/>
  <c r="G31" i="7" s="1"/>
  <c r="G32" i="7" s="1"/>
  <c r="G33" i="7" s="1"/>
  <c r="G34" i="7" s="1"/>
  <c r="G14" i="7"/>
  <c r="H24" i="5"/>
  <c r="H23" i="5"/>
  <c r="H22" i="5"/>
  <c r="E5" i="5"/>
  <c r="C130" i="5"/>
  <c r="C90" i="5"/>
  <c r="F130" i="5" l="1"/>
  <c r="E130" i="5"/>
  <c r="D130" i="5"/>
  <c r="F128" i="5"/>
  <c r="E128" i="5"/>
  <c r="D128" i="5"/>
  <c r="E125" i="5"/>
  <c r="E126" i="5" s="1"/>
  <c r="C131" i="5"/>
  <c r="D58" i="5"/>
  <c r="D131" i="5" s="1"/>
  <c r="F131" i="5" s="1"/>
  <c r="D125" i="5"/>
  <c r="D57" i="5"/>
  <c r="E119" i="5" s="1"/>
  <c r="D110" i="5"/>
  <c r="D53" i="2"/>
  <c r="G126" i="2" s="1"/>
  <c r="C128" i="5"/>
  <c r="F27" i="5"/>
  <c r="G27" i="5" s="1"/>
  <c r="F29" i="5"/>
  <c r="G29" i="5" s="1"/>
  <c r="D28" i="5"/>
  <c r="D38" i="5" l="1"/>
  <c r="D47" i="5" s="1"/>
  <c r="D53" i="5"/>
  <c r="D96" i="2"/>
  <c r="D95" i="2"/>
  <c r="F94" i="5"/>
  <c r="F129" i="5" s="1"/>
  <c r="E94" i="5"/>
  <c r="E129" i="5" s="1"/>
  <c r="F28" i="5"/>
  <c r="G28" i="5" s="1"/>
  <c r="F125" i="5"/>
  <c r="D62" i="5"/>
  <c r="D126" i="5" s="1"/>
  <c r="D119" i="5"/>
  <c r="D94" i="5"/>
  <c r="D129" i="5" s="1"/>
  <c r="F53" i="5" l="1"/>
  <c r="I53" i="5" s="1"/>
  <c r="D118" i="5" s="1"/>
  <c r="D54" i="5"/>
  <c r="I95" i="2"/>
  <c r="F95" i="2"/>
  <c r="F96" i="2"/>
  <c r="I96" i="2"/>
  <c r="E89" i="5"/>
  <c r="F89" i="5" s="1"/>
  <c r="F127" i="5" s="1"/>
  <c r="D89" i="5"/>
  <c r="D127" i="5" s="1"/>
  <c r="D132" i="5" s="1"/>
  <c r="F126" i="5"/>
  <c r="F54" i="5" l="1"/>
  <c r="I54" i="5" s="1"/>
  <c r="E118" i="5" s="1"/>
  <c r="E127" i="5"/>
  <c r="E132" i="5" s="1"/>
  <c r="E133" i="5" s="1"/>
  <c r="F132" i="5"/>
  <c r="F133" i="5" s="1"/>
  <c r="F40" i="2"/>
  <c r="C191" i="2"/>
  <c r="G181" i="2"/>
  <c r="F181" i="2"/>
  <c r="E181" i="2"/>
  <c r="D181" i="2"/>
  <c r="D84" i="2"/>
  <c r="D90" i="2"/>
  <c r="G30" i="2"/>
  <c r="D120" i="2"/>
  <c r="E41" i="2"/>
  <c r="G32" i="2"/>
  <c r="G50" i="2"/>
  <c r="F41" i="2"/>
  <c r="F39" i="2"/>
  <c r="E39" i="2"/>
  <c r="F38" i="2"/>
  <c r="E38" i="2"/>
  <c r="E40" i="2"/>
  <c r="D31" i="2"/>
  <c r="G31" i="2" s="1"/>
  <c r="D40" i="2"/>
  <c r="D39" i="2"/>
  <c r="D38" i="2"/>
  <c r="D114" i="2"/>
  <c r="D128" i="2" l="1"/>
  <c r="D127" i="2"/>
  <c r="D122" i="2"/>
  <c r="D123" i="2"/>
  <c r="E7" i="5"/>
  <c r="D7" i="5"/>
  <c r="E117" i="5"/>
  <c r="D117" i="5"/>
  <c r="E116" i="5"/>
  <c r="D116" i="5"/>
  <c r="D100" i="2"/>
  <c r="D121" i="2"/>
  <c r="D124" i="2"/>
  <c r="D163" i="2" s="1"/>
  <c r="C144" i="2" s="1"/>
  <c r="D119" i="2"/>
  <c r="F51" i="2"/>
  <c r="F52" i="2"/>
  <c r="F53" i="2"/>
  <c r="F31" i="2"/>
  <c r="F30" i="2"/>
  <c r="D118" i="2" l="1"/>
  <c r="E120" i="5"/>
  <c r="F135" i="5" s="1"/>
  <c r="E9" i="5" s="1"/>
  <c r="D120" i="5"/>
  <c r="E135" i="5" s="1"/>
  <c r="D9" i="5" s="1"/>
  <c r="F32" i="2"/>
  <c r="D126" i="2" s="1"/>
  <c r="D136" i="2" l="1"/>
  <c r="F136" i="2"/>
  <c r="D130" i="2"/>
  <c r="D9" i="2" s="1"/>
  <c r="D129" i="2"/>
  <c r="D8" i="2"/>
  <c r="E6" i="5"/>
  <c r="E8" i="5" s="1"/>
  <c r="F134" i="5" s="1"/>
  <c r="D6" i="5"/>
  <c r="D8" i="5" s="1"/>
  <c r="E134" i="5" s="1"/>
  <c r="D101" i="2"/>
  <c r="D125" i="2"/>
  <c r="C181" i="2"/>
  <c r="F137" i="2" l="1"/>
  <c r="F138" i="2" s="1"/>
  <c r="D137" i="2"/>
  <c r="D139" i="2" s="1"/>
  <c r="E137" i="2"/>
  <c r="D7" i="2"/>
  <c r="D10" i="2" s="1"/>
  <c r="E136" i="2"/>
  <c r="E139" i="2" l="1"/>
  <c r="E138" i="2"/>
  <c r="F139" i="2"/>
  <c r="D131" i="2"/>
  <c r="D13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Groes Christiansen</author>
  </authors>
  <commentList>
    <comment ref="G50" authorId="0" shapeId="0" xr:uid="{60F25010-A84D-4DD0-95A0-03105C5CDCAD}">
      <text>
        <r>
          <rPr>
            <b/>
            <sz val="9"/>
            <color indexed="81"/>
            <rFont val="Tahoma"/>
            <family val="2"/>
          </rPr>
          <t>Michael Groes Christiansen:</t>
        </r>
        <r>
          <rPr>
            <sz val="9"/>
            <color indexed="81"/>
            <rFont val="Tahoma"/>
            <family val="2"/>
          </rPr>
          <t xml:space="preserve">
Hvis man ikke er tilfreds med programmet forslag</t>
        </r>
      </text>
    </comment>
    <comment ref="D84" authorId="0" shapeId="0" xr:uid="{02FAEA91-3A6E-4353-971F-46A69C26FAF9}">
      <text>
        <r>
          <rPr>
            <b/>
            <sz val="9"/>
            <color indexed="81"/>
            <rFont val="Tahoma"/>
            <family val="2"/>
          </rPr>
          <t>Michael Groes Christiansen:</t>
        </r>
        <r>
          <rPr>
            <sz val="9"/>
            <color indexed="81"/>
            <rFont val="Tahoma"/>
            <family val="2"/>
          </rPr>
          <t xml:space="preserve">
(En sopolt pris fratrukket -  so gslagtegrisværdi ved ca. 80 kg slagtevægt) + omkostning fra ca. 22 uger til løbning)*50%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Groes Christiansen</author>
  </authors>
  <commentList>
    <comment ref="G34" authorId="0" shapeId="0" xr:uid="{DFE82FC6-7CB3-4A34-891B-A2AD6906E05D}">
      <text>
        <r>
          <rPr>
            <b/>
            <sz val="9"/>
            <color indexed="81"/>
            <rFont val="Tahoma"/>
            <family val="2"/>
          </rPr>
          <t>Michael Groes Christiansen:</t>
        </r>
        <r>
          <rPr>
            <sz val="9"/>
            <color indexed="81"/>
            <rFont val="Tahoma"/>
            <family val="2"/>
          </rPr>
          <t xml:space="preserve">
Hvis man ikke er tilfreds med programmet forslag</t>
        </r>
      </text>
    </comment>
    <comment ref="C127" authorId="0" shapeId="0" xr:uid="{13FB149F-485E-43A1-B51F-DFA665EB113F}">
      <text>
        <r>
          <rPr>
            <b/>
            <sz val="9"/>
            <color indexed="81"/>
            <rFont val="Tahoma"/>
            <family val="2"/>
          </rPr>
          <t>Michael Groes Christiansen:</t>
        </r>
        <r>
          <rPr>
            <sz val="9"/>
            <color indexed="81"/>
            <rFont val="Tahoma"/>
            <family val="2"/>
          </rPr>
          <t xml:space="preserve">
Note: Hvis der laves flere smågrise på ejendom end der skal bruges, videre sælges de med samme tillæg, som der er betalt</t>
        </r>
      </text>
    </comment>
  </commentList>
</comments>
</file>

<file path=xl/sharedStrings.xml><?xml version="1.0" encoding="utf-8"?>
<sst xmlns="http://schemas.openxmlformats.org/spreadsheetml/2006/main" count="464" uniqueCount="268">
  <si>
    <t>Årssøer</t>
  </si>
  <si>
    <t>Smågrise på stald</t>
  </si>
  <si>
    <t>Slagtegrise på stald</t>
  </si>
  <si>
    <t>Delsanering</t>
  </si>
  <si>
    <t>kr./so</t>
  </si>
  <si>
    <t>Rengøring</t>
  </si>
  <si>
    <t>Saneringsomkostning tabt DB</t>
  </si>
  <si>
    <t>Ja</t>
  </si>
  <si>
    <t xml:space="preserve"> </t>
  </si>
  <si>
    <t>Uændret drift</t>
  </si>
  <si>
    <t>Nej</t>
  </si>
  <si>
    <t>Antal pladser på lokaliteten</t>
  </si>
  <si>
    <t>Delsanering søer -total sanering øvrige pladser</t>
  </si>
  <si>
    <t>Totalsanering alle pladser på lokaliteten</t>
  </si>
  <si>
    <t>Totalsanering men med lejet gyltestald</t>
  </si>
  <si>
    <t>Smågrise</t>
  </si>
  <si>
    <t>Slagtegrise</t>
  </si>
  <si>
    <t>Ekstra ordinære afskrivninger søer på stald</t>
  </si>
  <si>
    <t>Ekstraordinære afskrivninger egen polteproduktion</t>
  </si>
  <si>
    <t>Hjemavl sopolte ?</t>
  </si>
  <si>
    <t>kr./erstattet so</t>
  </si>
  <si>
    <t>Tabt produktionsværdi i hele uger</t>
  </si>
  <si>
    <t>Bedrift</t>
  </si>
  <si>
    <t>Sygdomme i dag</t>
  </si>
  <si>
    <t>PRRS</t>
  </si>
  <si>
    <t>MYC</t>
  </si>
  <si>
    <t>AP</t>
  </si>
  <si>
    <t>Totalsanering</t>
  </si>
  <si>
    <t>Simpel tilbagebetalingstid i år</t>
  </si>
  <si>
    <t>Uændret drift, eventuelt med lidt tomme vækstsektioner</t>
  </si>
  <si>
    <t>Fravænnede grise per årsso</t>
  </si>
  <si>
    <t>Staldleje</t>
  </si>
  <si>
    <t>%</t>
  </si>
  <si>
    <t>Søer hele ugers produktionstab</t>
  </si>
  <si>
    <t>Smågrise hele ugers produktions tab</t>
  </si>
  <si>
    <t>Slagtegrise hele ugers produktionstab</t>
  </si>
  <si>
    <t>Diverse omkostninger totalsanering</t>
  </si>
  <si>
    <t>Diverse omkostninger delsanering</t>
  </si>
  <si>
    <t>I alt kr. gris UTS</t>
  </si>
  <si>
    <t>Diverse omkostninger sanering</t>
  </si>
  <si>
    <t>Forbedret DB efter saneringsplan (SEGES Middel vurdering)</t>
  </si>
  <si>
    <t>Forbedret DB efter saneringsplan +/- til SEGES vurdering</t>
  </si>
  <si>
    <t>valgt</t>
  </si>
  <si>
    <t xml:space="preserve">Plan </t>
  </si>
  <si>
    <t>Total omkostning sanering</t>
  </si>
  <si>
    <t>L-C-H metoden (Load-Close-Homogenize)</t>
  </si>
  <si>
    <t>uger lukket</t>
  </si>
  <si>
    <t>LCH tab</t>
  </si>
  <si>
    <t>Input færdigt</t>
  </si>
  <si>
    <t>Efter totalsanering</t>
  </si>
  <si>
    <t>Tabt ugers DB smågrise</t>
  </si>
  <si>
    <t>Tabt ugers DB slagtegrise</t>
  </si>
  <si>
    <t>Egen Gevinst</t>
  </si>
  <si>
    <t>Kr./kg</t>
  </si>
  <si>
    <t>Øvrige input</t>
  </si>
  <si>
    <t>I alt omkostninger ved sanering</t>
  </si>
  <si>
    <t>Slagtevægt</t>
  </si>
  <si>
    <t>Status indkøbte smågrise efter sanering</t>
  </si>
  <si>
    <t>I alt disse poster</t>
  </si>
  <si>
    <t>Ugers tomtid på lokalitet efter totalsanering</t>
  </si>
  <si>
    <t>Øvrige omkostninger ved sanering</t>
  </si>
  <si>
    <t>Tab produktionssygdomme kronisk, undfangelse til slagtning (UTS/gris)</t>
  </si>
  <si>
    <t>Kr./smågris</t>
  </si>
  <si>
    <t>Omkostning saneringsplan</t>
  </si>
  <si>
    <t>Sparet ekstra PRRS nedslag på solgte smågrise</t>
  </si>
  <si>
    <t>Facit efter indtastning</t>
  </si>
  <si>
    <t>Ændret indtjening per slagtegris</t>
  </si>
  <si>
    <t xml:space="preserve">Beregn nutidsværdi saneringsplaner efter </t>
  </si>
  <si>
    <t>So ugehold på stald</t>
  </si>
  <si>
    <t>Uge</t>
  </si>
  <si>
    <t>Smågrise ugehold på stald</t>
  </si>
  <si>
    <t>FEsv/kg tilvækst</t>
  </si>
  <si>
    <t>Slagtegrise ugehold på stald</t>
  </si>
  <si>
    <t>år</t>
  </si>
  <si>
    <t>Output saneringsplaner</t>
  </si>
  <si>
    <t>% pa</t>
  </si>
  <si>
    <t>Sofoder</t>
  </si>
  <si>
    <t>Søer</t>
  </si>
  <si>
    <t>Smågrise foder 1</t>
  </si>
  <si>
    <t>Smågrise foder 2</t>
  </si>
  <si>
    <t>Slagtegrisefoder</t>
  </si>
  <si>
    <t>Dødelighed</t>
  </si>
  <si>
    <t>Fra kg</t>
  </si>
  <si>
    <t>til kg</t>
  </si>
  <si>
    <t>Startpris</t>
  </si>
  <si>
    <t>Slut pris</t>
  </si>
  <si>
    <t>kr./ kg regulering</t>
  </si>
  <si>
    <t>Faktor værdi tilvækst per kg 7-40 kg. SEGES udfyldt</t>
  </si>
  <si>
    <t>FEsv per årsso</t>
  </si>
  <si>
    <t>7 kg pris</t>
  </si>
  <si>
    <t>30 kg pris</t>
  </si>
  <si>
    <t>Notering per kg slagtekrop</t>
  </si>
  <si>
    <t>Kr./Fesv</t>
  </si>
  <si>
    <t>Kr./FEsv</t>
  </si>
  <si>
    <t>kr./7 kg gris</t>
  </si>
  <si>
    <t>kr./30 gris</t>
  </si>
  <si>
    <t>Vægt ind kg</t>
  </si>
  <si>
    <t>Vægt ud kg</t>
  </si>
  <si>
    <t>Ca. 2023 prognose landsplan</t>
  </si>
  <si>
    <t>Salgsindtægt prognose</t>
  </si>
  <si>
    <t>Middel kg værdi 7-30 kg</t>
  </si>
  <si>
    <t>DB per enhed</t>
  </si>
  <si>
    <t>Grise overførsel/køb</t>
  </si>
  <si>
    <t>Griseomkostning per solgt enhed</t>
  </si>
  <si>
    <t>Foderomkostning med egne tal</t>
  </si>
  <si>
    <t>PRRS-slagtegrise kronisk</t>
  </si>
  <si>
    <t>Årssøer  i procent af maksimum under LCH</t>
  </si>
  <si>
    <t>Andel pris/gevinst i soholdet</t>
  </si>
  <si>
    <t>Oversigt som viser de forskellige muligheder</t>
  </si>
  <si>
    <t>Årlig gevinst totalsanering på sundhedstillæg</t>
  </si>
  <si>
    <t>Saneringsomkostning tabte dækningsbidrag</t>
  </si>
  <si>
    <t>Årligt vægtet gevinst delsanering sundhedstillæg</t>
  </si>
  <si>
    <t>DB forbedring delsanering sundhedstillæg (vægtet med % succesrate)</t>
  </si>
  <si>
    <t>Vælg saneringsplan</t>
  </si>
  <si>
    <t>Oplysninger vedrørende ekstraordinære tab eller udgifter i forbindelse med saneringer</t>
  </si>
  <si>
    <t>Forbedret DB efter saneringsplan, sundhedstillæg standard</t>
  </si>
  <si>
    <t>Nr. planer</t>
  </si>
  <si>
    <t>Visning</t>
  </si>
  <si>
    <t>Kvm stald ca.</t>
  </si>
  <si>
    <t>Ekstra lønomkostning vask ?</t>
  </si>
  <si>
    <t>Værdi</t>
  </si>
  <si>
    <t>Ændret DB efter saneringsplan +/- til SEGES vurdering/år</t>
  </si>
  <si>
    <t>Pladser på lokalitet</t>
  </si>
  <si>
    <t>Ejer</t>
  </si>
  <si>
    <t>Sygdom før sanering</t>
  </si>
  <si>
    <t>Succesrate sanering</t>
  </si>
  <si>
    <t>Bedste estimat</t>
  </si>
  <si>
    <t>Højere estimat</t>
  </si>
  <si>
    <t>Lavere estimat</t>
  </si>
  <si>
    <t>Forbedret DB efter saneringsplan +/- til SEGES vurdering kr./år</t>
  </si>
  <si>
    <t>xx</t>
  </si>
  <si>
    <t>xxx</t>
  </si>
  <si>
    <t>Følsomhedstabel</t>
  </si>
  <si>
    <t>Enhed på stald</t>
  </si>
  <si>
    <t>DB under sanering</t>
  </si>
  <si>
    <t>SEGES input</t>
  </si>
  <si>
    <t>Screening løsninger, dog med samme egen korrektion alle løsninger</t>
  </si>
  <si>
    <t>Saneringsplan valgt:</t>
  </si>
  <si>
    <t>Totalomkostning sanering</t>
  </si>
  <si>
    <t>DB tab under sanering</t>
  </si>
  <si>
    <t>Ekstra grundig rengøring stalde og desinfektion stalde</t>
  </si>
  <si>
    <t>Kalkulationsrente i kalkule</t>
  </si>
  <si>
    <t>Luftvejssygdomme</t>
  </si>
  <si>
    <t>Stipladsoplysninger</t>
  </si>
  <si>
    <t>Omkostninger til rengøring</t>
  </si>
  <si>
    <t>Vask Min./kvm saneringsvask</t>
  </si>
  <si>
    <t>Timer i alt</t>
  </si>
  <si>
    <t>Overslag ekstra rengøring og ekstra desinfektion</t>
  </si>
  <si>
    <t>Rengøring og desinfektion under sanering</t>
  </si>
  <si>
    <t>Merpris smågrise hvis fri for sygdom</t>
  </si>
  <si>
    <t>P-areal i kvm per stiplads</t>
  </si>
  <si>
    <t>Andel til soholdet</t>
  </si>
  <si>
    <t>Saneringsomkostning i form af tabte hele uger</t>
  </si>
  <si>
    <t>Årlig beregnet sundhedstillæg korrektioner</t>
  </si>
  <si>
    <t>Beregnet sundhedstillæg per indkøbt smågris SEGES</t>
  </si>
  <si>
    <t>Beregnet marginal økonomisk gevinster/tab SEGES</t>
  </si>
  <si>
    <t>Tabt DB under sanering/gris</t>
  </si>
  <si>
    <t>Slagtegrisefoder, Kr./FEsv</t>
  </si>
  <si>
    <t>Smågrise foder 2, kr./FEsv</t>
  </si>
  <si>
    <t>Sofoderpris, kr./FEsv</t>
  </si>
  <si>
    <t>Diverse stykomkostninger</t>
  </si>
  <si>
    <t xml:space="preserve">Tabt DB smågrise saneringsplan, i alt kr. </t>
  </si>
  <si>
    <t>Rengøringsomkostning sanering</t>
  </si>
  <si>
    <t xml:space="preserve">Succesrate indlagt ved delsanering </t>
  </si>
  <si>
    <t xml:space="preserve">Marginal ændret produktivitet slagtegris i kr./gris SEGES </t>
  </si>
  <si>
    <t>Udgiver:</t>
  </si>
  <si>
    <t>SEGES Innovation P/S</t>
  </si>
  <si>
    <t>Udgivelsesdato:</t>
  </si>
  <si>
    <t>Forfatter:</t>
  </si>
  <si>
    <t>Michael Groes Christiansen</t>
  </si>
  <si>
    <t>Version:</t>
  </si>
  <si>
    <t>Datagrundlag og opdateringsfrekvens:</t>
  </si>
  <si>
    <t>Dokument:</t>
  </si>
  <si>
    <t>Se vilkår</t>
  </si>
  <si>
    <t>1.00</t>
  </si>
  <si>
    <t>Dropdown med valg af input</t>
  </si>
  <si>
    <t>SEGES påtager sig intet ansvar for tab, herunder driftstab, avancetab eller anden form for direkte eller indirekte tab ved anvendelse af LandbrugsInfo eller tilknyttede informationer og applikationer.</t>
  </si>
  <si>
    <t>Vilkår og Ansvar:</t>
  </si>
  <si>
    <t>Simpel tilbagebetalingstid i år (0 % i kalkulationsrente)</t>
  </si>
  <si>
    <t>Forbedret årligt cash flow (pengestrøm) efter saneringsplan</t>
  </si>
  <si>
    <t>Dropdown, vælg fra liste</t>
  </si>
  <si>
    <t>Tab produktionssygdomme kronisk undfangelse til slagtning (UTS/gris) som fordeles mellem smågrisehold og slagtegrisehold på salgspriser</t>
  </si>
  <si>
    <t>Nr.</t>
  </si>
  <si>
    <t>Dropdown menu valg giver disse tabte DB tab omregnet til på ugebasis</t>
  </si>
  <si>
    <t>Netto produktionsareal kvm per enhed</t>
  </si>
  <si>
    <t>Ekstraordinære afskrivninger genetik eksisterende sohold</t>
  </si>
  <si>
    <t>Eventuel staldleje per drægtig gylt i ca. 17 uger</t>
  </si>
  <si>
    <t>kr./plads i ca. 17 uger</t>
  </si>
  <si>
    <t>Egne årlige tab ved at vedblive med at  PRRS-positiv kr. solgt/smågris</t>
  </si>
  <si>
    <t>Økonomisk opstilling</t>
  </si>
  <si>
    <t>DB forbedring vejledende sundhedsstatusreguleringer</t>
  </si>
  <si>
    <t>Forbedret årligt cash flow efter saneringsplan</t>
  </si>
  <si>
    <t>Tabt DB slagtegrise saneringsplan i alt, kr.</t>
  </si>
  <si>
    <t>Vejledning i brug af program</t>
  </si>
  <si>
    <t>Cellefarver angiver input eller valg</t>
  </si>
  <si>
    <t>Beregnet selvforsyningsgrad slagtegrise med smågrise 7-30 kg produceret på lokaliteten</t>
  </si>
  <si>
    <t>Marginal mindre afregnet per kg slagtekrop hvis besætningen kommer på FVST-PRRS-liste</t>
  </si>
  <si>
    <t>Ændring smågrise tillæg, måske ny smågriseleverandør</t>
  </si>
  <si>
    <t>Kr./årligt marginalt som følge af ændret sundhedsstatus udover sundhedstillæg</t>
  </si>
  <si>
    <t xml:space="preserve">Driftsgren </t>
  </si>
  <si>
    <t>Timer i rengøring vurdering</t>
  </si>
  <si>
    <t>Diverse ekstra omkostninger</t>
  </si>
  <si>
    <t>Sygdomsstatus før-efter</t>
  </si>
  <si>
    <t>DB forbedring totalsanering sundhedstillæg (100 % succes)/år</t>
  </si>
  <si>
    <t>kr./år</t>
  </si>
  <si>
    <t>I runde tal svarer 31 % til +/- kr./notering slagtegrise med valgt prognose</t>
  </si>
  <si>
    <t>For en andelsejer som er testet positiv for PRRS ved en virus-test (PCR), foretages der følgende fradrag, når den en ny PRRS bekendgørelse træder i rkraft</t>
  </si>
  <si>
    <t>0-4</t>
  </si>
  <si>
    <t>&gt;24</t>
  </si>
  <si>
    <t>Fradrag i øre/kg</t>
  </si>
  <si>
    <t>Antal måneder PRRS-posivit på FVST PRRS-liste (påvisning PRRS-virus)</t>
  </si>
  <si>
    <t>Overført værdi eller beregnet udfra foregående indtastninger, men kan overskrives</t>
  </si>
  <si>
    <t>Saneres der for gødningsbårne sygdomme ved totalsanering</t>
  </si>
  <si>
    <t>Programmets anvendelse</t>
  </si>
  <si>
    <t>25. januar 2023</t>
  </si>
  <si>
    <t>Formålet med regnearket er at vurdere økonomien i en saneringsplan på en so-lokalitet eller en vækstgrise-lokalitet</t>
  </si>
  <si>
    <t>Input-celler med egne tal</t>
  </si>
  <si>
    <t>Om programmet: Regnearket er opdelt i en so-lokalitet, hvor der kan oplyses smågrise- og slagtegrisepladser, samt en vækstgrise-lokalitet uden søer. Marginalværdier i kr. for ændret sundhedsstatus er indlagt for PRRS, AP og MYC. Udover dette kan man manuelt indlægge +/- beløb ind i kr. til disse forslag. Vær opmærksom på at en lokalitet kan blive smittet igen efter en sanering for en sygdom. Sandsynligheden for dette er ikke indregnet i tilbagebetalingstider og nutidsværdi x-år efter en sanering. Brug GIS-kort og andet fra Landbrug &amp; Fødevarer til at vurdere reinfektionsrisiko for den pågældende lokalitet, og vær særlig opmærksom på at lange tilbagebetalingstider i år = øget sandsynlighed for tilbagekomst af luftvejssygdomme skal overvejes en ekstra gang.</t>
  </si>
  <si>
    <t>Saneringer so-lokaliteter</t>
  </si>
  <si>
    <t>Vejledning cellefarver</t>
  </si>
  <si>
    <t>Input-celle</t>
  </si>
  <si>
    <t>So-ejendom</t>
  </si>
  <si>
    <t>Gns. delsanering succesrate</t>
  </si>
  <si>
    <t>Totalsanering succesrate</t>
  </si>
  <si>
    <t>Ugers normal produktionstid</t>
  </si>
  <si>
    <t>Input til egne DB-kalkuler</t>
  </si>
  <si>
    <t>DB-tabskalkulen under saneringen</t>
  </si>
  <si>
    <t>Prognosepriser brugt som default</t>
  </si>
  <si>
    <t>Kr./7 kg gris</t>
  </si>
  <si>
    <t>Kr./30 gris</t>
  </si>
  <si>
    <t>Smågrise foder 1, Kr./FEsv</t>
  </si>
  <si>
    <t>Smågrise foder 2, Kr./FEsv</t>
  </si>
  <si>
    <t>Diverse stykomkostninger inkl. avlsomkostning</t>
  </si>
  <si>
    <t>Desinfektionsmidler Kr./kvm</t>
  </si>
  <si>
    <t>Kr./fravænnet gris</t>
  </si>
  <si>
    <t>CHR-nummer</t>
  </si>
  <si>
    <t>Indregnet sundhedstillæg salg efter sanering (SEGES middel vurdering) kr./år</t>
  </si>
  <si>
    <t>I alt forbedret cash flow efter sanering i kr./år</t>
  </si>
  <si>
    <t>Skøn forbedret cash flow per år efter sanering</t>
  </si>
  <si>
    <t>Delsanering søer men med totalsanering øvrige pladser</t>
  </si>
  <si>
    <t>Ekstraordinære afskrivninger søer på stald</t>
  </si>
  <si>
    <t>Sanering vækst grise-lokaliteter</t>
  </si>
  <si>
    <t>Prognosepriser brugt til efterligning beregnet smågrisenotering</t>
  </si>
  <si>
    <t>Gns. delsanering succesrate hvis sygdomme er der før delsanering</t>
  </si>
  <si>
    <t>Maksimal pause imellem indsætninger i uger</t>
  </si>
  <si>
    <t>Tabte hele ugers produktionstid, kan endelig tilpasses her. Ved forsøg på en delsanering kan der indlægges egne driftstab f.eks.  tomme sektioner mellem forskellig status grise</t>
  </si>
  <si>
    <t>Totalsanering. Tabt DB i hele uger  for totalsanerings-planen</t>
  </si>
  <si>
    <t>Desinfektions-midler kr./kvm</t>
  </si>
  <si>
    <t>Diverse omkostninger øvrige total- og delsanering</t>
  </si>
  <si>
    <t>Note: Hvis dette sker skal man totalsanere før eller siden.</t>
  </si>
  <si>
    <t>Positiv PRRS-status og på FVST-PRRS-liste ved klinisk og påvist PRRS</t>
  </si>
  <si>
    <t>Input til egne DB-kalkuler under sanering</t>
  </si>
  <si>
    <t>DB-tabskalkulen under saneringen per gris i manglende produktion</t>
  </si>
  <si>
    <t>Marginal økonomi per år efter handlingsplaner</t>
  </si>
  <si>
    <t>Marginal ændring afregning per år ved at være på FVST-PRRS-liste, kr./år</t>
  </si>
  <si>
    <t>Nedslag smågrise hvis man er på FVST-PRRS-liste</t>
  </si>
  <si>
    <t>Ca. 2023-prognose landsplan. Kan tilpasses</t>
  </si>
  <si>
    <t>Ansvarsfraskrivelse:</t>
  </si>
  <si>
    <t>Værditab egen polteproduktion (per forventet løbet)</t>
  </si>
  <si>
    <t>Indregnet forbedret økonomi sohold PRRS-fri status kr../år</t>
  </si>
  <si>
    <t>Beregnet succesrate for at være fri for denne sygdom efter delsanering</t>
  </si>
  <si>
    <t xml:space="preserve">Der er ingen vejledende succesrater for delsaneringer slagtegrise-lokaliteter, men erfaringen viser at nogle lykkes. Succesraten øges ved flere selvstændige bygninger </t>
  </si>
  <si>
    <t>Ved egen smågriseproduktion på lokaliteten, må der indkøbes suppleringssmågrise ind under genopbygning?</t>
  </si>
  <si>
    <t>Tabt DB i hele uger ved delsanerings-planer</t>
  </si>
  <si>
    <t>Saneres der ved totalsanering for gødningsbårne sygdomme?</t>
  </si>
  <si>
    <t>Diverse årlige omkostninger ved +PRRS-status, ekstra dyrlæge og PCR-test</t>
  </si>
  <si>
    <t>Ekstra nedslag smågrisepris, hvis besætningen er på FVST-PRRS-liste</t>
  </si>
  <si>
    <t>Årligt marginalt ændret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</si>
</sst>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kr.&quot;_-;\-* #,##0\ &quot;kr.&quot;_-;_-* &quot;-&quot;\ &quot;kr.&quot;_-;_-@_-"/>
    <numFmt numFmtId="164" formatCode="0.0%"/>
    <numFmt numFmtId="165" formatCode="0.0"/>
    <numFmt numFmtId="166" formatCode="#,##0.0\ &quot;kr.&quot;"/>
    <numFmt numFmtId="167" formatCode="#,##0.0"/>
    <numFmt numFmtId="168" formatCode="0.000"/>
  </numFmts>
  <fonts count="25" x14ac:knownFonts="1"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6"/>
      <color theme="1"/>
      <name val="Arial"/>
      <family val="2"/>
    </font>
    <font>
      <b/>
      <sz val="20"/>
      <color theme="1"/>
      <name val="Arial"/>
      <family val="2"/>
    </font>
    <font>
      <sz val="18"/>
      <color theme="1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4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rgb="FF3F3F3F"/>
      </bottom>
      <diagonal/>
    </border>
    <border>
      <left style="medium">
        <color indexed="64"/>
      </left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double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medium">
        <color indexed="64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1" fillId="2" borderId="1" applyAlignment="0" applyProtection="0"/>
    <xf numFmtId="9" fontId="2" fillId="0" borderId="0" applyFon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9" fontId="15" fillId="0" borderId="0" applyFont="0" applyFill="0" applyBorder="0" applyAlignment="0" applyProtection="0"/>
    <xf numFmtId="0" fontId="2" fillId="5" borderId="6"/>
    <xf numFmtId="0" fontId="2" fillId="4" borderId="6"/>
  </cellStyleXfs>
  <cellXfs count="229">
    <xf numFmtId="0" fontId="0" fillId="0" borderId="0" xfId="0"/>
    <xf numFmtId="0" fontId="0" fillId="0" borderId="0" xfId="0" applyAlignment="1">
      <alignment vertical="center" wrapText="1"/>
    </xf>
    <xf numFmtId="0" fontId="1" fillId="2" borderId="1" xfId="1"/>
    <xf numFmtId="0" fontId="0" fillId="0" borderId="2" xfId="0" applyBorder="1"/>
    <xf numFmtId="3" fontId="0" fillId="0" borderId="0" xfId="0" applyNumberFormat="1"/>
    <xf numFmtId="4" fontId="0" fillId="0" borderId="0" xfId="0" applyNumberFormat="1" applyAlignment="1">
      <alignment vertical="center" wrapText="1"/>
    </xf>
    <xf numFmtId="0" fontId="0" fillId="0" borderId="0" xfId="0" applyAlignment="1">
      <alignment horizontal="center"/>
    </xf>
    <xf numFmtId="3" fontId="0" fillId="0" borderId="2" xfId="0" applyNumberFormat="1" applyBorder="1"/>
    <xf numFmtId="0" fontId="3" fillId="0" borderId="0" xfId="0" applyFont="1"/>
    <xf numFmtId="0" fontId="3" fillId="0" borderId="0" xfId="0" applyFont="1" applyAlignment="1">
      <alignment vertical="center" wrapText="1"/>
    </xf>
    <xf numFmtId="9" fontId="0" fillId="0" borderId="0" xfId="2" applyFont="1"/>
    <xf numFmtId="1" fontId="0" fillId="0" borderId="0" xfId="0" applyNumberFormat="1"/>
    <xf numFmtId="9" fontId="0" fillId="0" borderId="0" xfId="0" applyNumberFormat="1"/>
    <xf numFmtId="3" fontId="0" fillId="0" borderId="0" xfId="0" applyNumberFormat="1" applyAlignment="1">
      <alignment wrapText="1"/>
    </xf>
    <xf numFmtId="3" fontId="0" fillId="0" borderId="2" xfId="0" applyNumberFormat="1" applyBorder="1" applyAlignment="1">
      <alignment wrapText="1"/>
    </xf>
    <xf numFmtId="0" fontId="1" fillId="3" borderId="0" xfId="0" applyFont="1" applyFill="1"/>
    <xf numFmtId="0" fontId="3" fillId="0" borderId="2" xfId="0" applyFont="1" applyBorder="1"/>
    <xf numFmtId="2" fontId="3" fillId="0" borderId="2" xfId="0" applyNumberFormat="1" applyFont="1" applyBorder="1"/>
    <xf numFmtId="0" fontId="6" fillId="0" borderId="3" xfId="0" applyFont="1" applyBorder="1"/>
    <xf numFmtId="0" fontId="0" fillId="0" borderId="3" xfId="0" applyFont="1" applyBorder="1" applyAlignment="1">
      <alignment wrapText="1"/>
    </xf>
    <xf numFmtId="0" fontId="0" fillId="0" borderId="4" xfId="0" applyBorder="1"/>
    <xf numFmtId="3" fontId="0" fillId="0" borderId="4" xfId="0" applyNumberFormat="1" applyBorder="1" applyAlignment="1">
      <alignment wrapText="1"/>
    </xf>
    <xf numFmtId="3" fontId="0" fillId="0" borderId="4" xfId="0" applyNumberFormat="1" applyBorder="1"/>
    <xf numFmtId="0" fontId="7" fillId="0" borderId="0" xfId="0" applyFont="1"/>
    <xf numFmtId="0" fontId="0" fillId="0" borderId="0" xfId="0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3" fillId="0" borderId="5" xfId="0" applyFont="1" applyBorder="1"/>
    <xf numFmtId="165" fontId="3" fillId="0" borderId="5" xfId="0" applyNumberFormat="1" applyFont="1" applyBorder="1"/>
    <xf numFmtId="0" fontId="11" fillId="0" borderId="0" xfId="0" applyFont="1"/>
    <xf numFmtId="166" fontId="0" fillId="0" borderId="0" xfId="0" applyNumberFormat="1"/>
    <xf numFmtId="0" fontId="0" fillId="0" borderId="0" xfId="0" applyAlignment="1">
      <alignment horizontal="center" vertical="center" wrapText="1"/>
    </xf>
    <xf numFmtId="0" fontId="13" fillId="0" borderId="0" xfId="0" applyFont="1"/>
    <xf numFmtId="2" fontId="0" fillId="0" borderId="0" xfId="0" applyNumberFormat="1"/>
    <xf numFmtId="3" fontId="0" fillId="0" borderId="0" xfId="0" applyNumberFormat="1" applyAlignment="1">
      <alignment vertical="center" wrapText="1"/>
    </xf>
    <xf numFmtId="165" fontId="0" fillId="0" borderId="0" xfId="0" applyNumberFormat="1"/>
    <xf numFmtId="165" fontId="0" fillId="0" borderId="2" xfId="0" applyNumberFormat="1" applyBorder="1"/>
    <xf numFmtId="3" fontId="0" fillId="0" borderId="2" xfId="0" applyNumberFormat="1" applyBorder="1" applyAlignment="1">
      <alignment vertical="center" wrapText="1"/>
    </xf>
    <xf numFmtId="0" fontId="3" fillId="0" borderId="0" xfId="0" applyFont="1" applyBorder="1"/>
    <xf numFmtId="165" fontId="0" fillId="0" borderId="0" xfId="0" applyNumberFormat="1" applyBorder="1"/>
    <xf numFmtId="14" fontId="0" fillId="0" borderId="0" xfId="0" applyNumberFormat="1"/>
    <xf numFmtId="0" fontId="0" fillId="0" borderId="0" xfId="0" applyFill="1" applyBorder="1"/>
    <xf numFmtId="0" fontId="12" fillId="0" borderId="0" xfId="0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14" fillId="0" borderId="0" xfId="0" applyFont="1"/>
    <xf numFmtId="3" fontId="8" fillId="0" borderId="0" xfId="0" applyNumberFormat="1" applyFont="1"/>
    <xf numFmtId="0" fontId="0" fillId="0" borderId="0" xfId="0" applyAlignment="1">
      <alignment horizontal="center" vertical="center" wrapText="1"/>
    </xf>
    <xf numFmtId="0" fontId="0" fillId="0" borderId="6" xfId="0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Border="1"/>
    <xf numFmtId="0" fontId="3" fillId="0" borderId="0" xfId="0" applyFont="1" applyFill="1" applyBorder="1"/>
    <xf numFmtId="0" fontId="0" fillId="4" borderId="6" xfId="0" applyFill="1" applyBorder="1"/>
    <xf numFmtId="1" fontId="0" fillId="3" borderId="6" xfId="0" applyNumberFormat="1" applyFill="1" applyBorder="1"/>
    <xf numFmtId="3" fontId="0" fillId="3" borderId="0" xfId="0" applyNumberFormat="1" applyFill="1" applyBorder="1"/>
    <xf numFmtId="0" fontId="0" fillId="0" borderId="4" xfId="0" applyFill="1" applyBorder="1"/>
    <xf numFmtId="0" fontId="0" fillId="0" borderId="7" xfId="0" applyFill="1" applyBorder="1"/>
    <xf numFmtId="0" fontId="0" fillId="0" borderId="6" xfId="0" applyFill="1" applyBorder="1"/>
    <xf numFmtId="0" fontId="0" fillId="0" borderId="0" xfId="0"/>
    <xf numFmtId="0" fontId="3" fillId="0" borderId="6" xfId="0" applyFont="1" applyBorder="1"/>
    <xf numFmtId="0" fontId="8" fillId="0" borderId="0" xfId="0" applyFont="1"/>
    <xf numFmtId="0" fontId="0" fillId="0" borderId="0" xfId="0" applyAlignment="1">
      <alignment horizontal="left"/>
    </xf>
    <xf numFmtId="42" fontId="0" fillId="3" borderId="8" xfId="0" applyNumberFormat="1" applyFill="1" applyBorder="1"/>
    <xf numFmtId="0" fontId="0" fillId="0" borderId="6" xfId="0" applyBorder="1" applyAlignment="1">
      <alignment vertical="center" wrapText="1"/>
    </xf>
    <xf numFmtId="0" fontId="0" fillId="0" borderId="9" xfId="0" applyBorder="1"/>
    <xf numFmtId="167" fontId="0" fillId="0" borderId="2" xfId="0" applyNumberFormat="1" applyBorder="1"/>
    <xf numFmtId="167" fontId="0" fillId="0" borderId="9" xfId="0" applyNumberFormat="1" applyBorder="1"/>
    <xf numFmtId="0" fontId="0" fillId="0" borderId="8" xfId="0" applyBorder="1"/>
    <xf numFmtId="3" fontId="0" fillId="0" borderId="8" xfId="0" applyNumberFormat="1" applyBorder="1"/>
    <xf numFmtId="3" fontId="17" fillId="0" borderId="0" xfId="0" applyNumberFormat="1" applyFont="1"/>
    <xf numFmtId="9" fontId="0" fillId="0" borderId="6" xfId="0" applyNumberFormat="1" applyBorder="1"/>
    <xf numFmtId="3" fontId="0" fillId="0" borderId="6" xfId="0" applyNumberFormat="1" applyBorder="1"/>
    <xf numFmtId="42" fontId="0" fillId="0" borderId="6" xfId="0" applyNumberFormat="1" applyBorder="1"/>
    <xf numFmtId="2" fontId="0" fillId="0" borderId="6" xfId="0" applyNumberFormat="1" applyBorder="1"/>
    <xf numFmtId="0" fontId="0" fillId="0" borderId="5" xfId="0" applyBorder="1"/>
    <xf numFmtId="3" fontId="0" fillId="0" borderId="5" xfId="0" applyNumberFormat="1" applyBorder="1"/>
    <xf numFmtId="165" fontId="0" fillId="0" borderId="5" xfId="0" applyNumberFormat="1" applyBorder="1"/>
    <xf numFmtId="0" fontId="3" fillId="0" borderId="10" xfId="0" applyFont="1" applyBorder="1"/>
    <xf numFmtId="165" fontId="0" fillId="0" borderId="10" xfId="0" applyNumberFormat="1" applyBorder="1"/>
    <xf numFmtId="2" fontId="0" fillId="0" borderId="0" xfId="0" applyNumberFormat="1" applyBorder="1"/>
    <xf numFmtId="0" fontId="0" fillId="0" borderId="0" xfId="0" applyFont="1"/>
    <xf numFmtId="0" fontId="0" fillId="0" borderId="5" xfId="0" applyFont="1" applyBorder="1"/>
    <xf numFmtId="165" fontId="0" fillId="0" borderId="0" xfId="0" applyNumberFormat="1" applyAlignment="1">
      <alignment horizontal="left"/>
    </xf>
    <xf numFmtId="0" fontId="0" fillId="0" borderId="10" xfId="0" applyBorder="1"/>
    <xf numFmtId="3" fontId="0" fillId="0" borderId="10" xfId="0" applyNumberFormat="1" applyBorder="1"/>
    <xf numFmtId="0" fontId="0" fillId="0" borderId="2" xfId="0" applyFont="1" applyBorder="1"/>
    <xf numFmtId="0" fontId="0" fillId="0" borderId="0" xfId="0" applyFont="1" applyBorder="1"/>
    <xf numFmtId="3" fontId="0" fillId="3" borderId="7" xfId="0" applyNumberFormat="1" applyFill="1" applyBorder="1"/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/>
    <xf numFmtId="9" fontId="0" fillId="0" borderId="0" xfId="0" applyNumberFormat="1"/>
    <xf numFmtId="0" fontId="0" fillId="0" borderId="0" xfId="0"/>
    <xf numFmtId="0" fontId="10" fillId="0" borderId="4" xfId="0" applyFont="1" applyBorder="1"/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wrapText="1"/>
    </xf>
    <xf numFmtId="9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8" xfId="0" applyFont="1" applyBorder="1"/>
    <xf numFmtId="3" fontId="3" fillId="0" borderId="8" xfId="0" applyNumberFormat="1" applyFont="1" applyBorder="1"/>
    <xf numFmtId="164" fontId="0" fillId="0" borderId="11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13" fillId="0" borderId="4" xfId="0" applyFont="1" applyBorder="1"/>
    <xf numFmtId="4" fontId="0" fillId="0" borderId="0" xfId="0" applyNumberFormat="1"/>
    <xf numFmtId="0" fontId="0" fillId="0" borderId="0" xfId="0" applyAlignment="1">
      <alignment wrapText="1"/>
    </xf>
    <xf numFmtId="0" fontId="16" fillId="0" borderId="6" xfId="4" applyFill="1" applyBorder="1" applyAlignment="1" applyProtection="1">
      <protection locked="0"/>
    </xf>
    <xf numFmtId="0" fontId="2" fillId="5" borderId="6" xfId="6"/>
    <xf numFmtId="0" fontId="2" fillId="4" borderId="6" xfId="7"/>
    <xf numFmtId="9" fontId="2" fillId="5" borderId="6" xfId="2" applyFill="1" applyBorder="1"/>
    <xf numFmtId="164" fontId="2" fillId="5" borderId="6" xfId="2" applyNumberFormat="1" applyFill="1" applyBorder="1"/>
    <xf numFmtId="0" fontId="2" fillId="5" borderId="6" xfId="6" applyAlignment="1">
      <alignment vertical="center" wrapText="1"/>
    </xf>
    <xf numFmtId="3" fontId="2" fillId="5" borderId="6" xfId="6" applyNumberFormat="1"/>
    <xf numFmtId="0" fontId="3" fillId="0" borderId="16" xfId="0" applyFont="1" applyBorder="1"/>
    <xf numFmtId="0" fontId="3" fillId="0" borderId="17" xfId="0" applyFont="1" applyBorder="1" applyAlignment="1">
      <alignment vertical="center" wrapText="1"/>
    </xf>
    <xf numFmtId="0" fontId="0" fillId="0" borderId="17" xfId="0" applyBorder="1"/>
    <xf numFmtId="0" fontId="3" fillId="0" borderId="18" xfId="0" applyFont="1" applyBorder="1" applyAlignment="1">
      <alignment vertical="center" wrapText="1"/>
    </xf>
    <xf numFmtId="0" fontId="0" fillId="0" borderId="19" xfId="0" applyBorder="1"/>
    <xf numFmtId="1" fontId="0" fillId="0" borderId="0" xfId="0" applyNumberFormat="1" applyBorder="1" applyAlignment="1">
      <alignment vertical="center" wrapText="1"/>
    </xf>
    <xf numFmtId="0" fontId="2" fillId="5" borderId="6" xfId="6" applyBorder="1"/>
    <xf numFmtId="0" fontId="2" fillId="5" borderId="20" xfId="6" applyBorder="1"/>
    <xf numFmtId="0" fontId="0" fillId="0" borderId="21" xfId="0" applyBorder="1"/>
    <xf numFmtId="1" fontId="0" fillId="0" borderId="4" xfId="0" applyNumberFormat="1" applyBorder="1"/>
    <xf numFmtId="0" fontId="2" fillId="5" borderId="22" xfId="6" applyBorder="1"/>
    <xf numFmtId="0" fontId="2" fillId="5" borderId="23" xfId="6" applyBorder="1"/>
    <xf numFmtId="0" fontId="3" fillId="0" borderId="16" xfId="0" applyFont="1" applyBorder="1" applyAlignment="1">
      <alignment vertical="center" wrapText="1"/>
    </xf>
    <xf numFmtId="0" fontId="0" fillId="0" borderId="17" xfId="0" applyBorder="1" applyAlignment="1">
      <alignment vertical="center" wrapText="1"/>
    </xf>
    <xf numFmtId="9" fontId="15" fillId="5" borderId="6" xfId="2" applyFont="1" applyFill="1" applyBorder="1"/>
    <xf numFmtId="0" fontId="1" fillId="2" borderId="1" xfId="1" applyBorder="1"/>
    <xf numFmtId="9" fontId="0" fillId="0" borderId="0" xfId="0" applyNumberFormat="1" applyBorder="1"/>
    <xf numFmtId="164" fontId="0" fillId="0" borderId="24" xfId="2" applyNumberFormat="1" applyFont="1" applyBorder="1"/>
    <xf numFmtId="164" fontId="0" fillId="0" borderId="25" xfId="2" applyNumberFormat="1" applyFont="1" applyBorder="1"/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1" fillId="2" borderId="29" xfId="1" applyBorder="1"/>
    <xf numFmtId="0" fontId="1" fillId="2" borderId="30" xfId="1" applyBorder="1"/>
    <xf numFmtId="0" fontId="1" fillId="2" borderId="31" xfId="1" applyBorder="1"/>
    <xf numFmtId="0" fontId="3" fillId="0" borderId="12" xfId="0" applyFont="1" applyBorder="1" applyAlignment="1">
      <alignment vertical="center" wrapText="1"/>
    </xf>
    <xf numFmtId="0" fontId="1" fillId="2" borderId="32" xfId="1" applyBorder="1"/>
    <xf numFmtId="0" fontId="1" fillId="2" borderId="33" xfId="1" applyBorder="1"/>
    <xf numFmtId="0" fontId="1" fillId="2" borderId="34" xfId="1" applyBorder="1"/>
    <xf numFmtId="0" fontId="0" fillId="0" borderId="12" xfId="0" applyBorder="1" applyAlignment="1">
      <alignment vertical="center" wrapText="1"/>
    </xf>
    <xf numFmtId="9" fontId="0" fillId="0" borderId="35" xfId="0" applyNumberFormat="1" applyBorder="1"/>
    <xf numFmtId="9" fontId="0" fillId="0" borderId="13" xfId="0" applyNumberFormat="1" applyBorder="1"/>
    <xf numFmtId="164" fontId="2" fillId="5" borderId="35" xfId="2" applyNumberFormat="1" applyFill="1" applyBorder="1"/>
    <xf numFmtId="164" fontId="2" fillId="5" borderId="13" xfId="2" applyNumberFormat="1" applyFill="1" applyBorder="1"/>
    <xf numFmtId="2" fontId="2" fillId="5" borderId="23" xfId="6" applyNumberFormat="1" applyBorder="1"/>
    <xf numFmtId="0" fontId="2" fillId="5" borderId="15" xfId="6" applyBorder="1"/>
    <xf numFmtId="2" fontId="2" fillId="5" borderId="36" xfId="6" applyNumberFormat="1" applyBorder="1"/>
    <xf numFmtId="0" fontId="0" fillId="0" borderId="19" xfId="0" applyFill="1" applyBorder="1"/>
    <xf numFmtId="3" fontId="0" fillId="0" borderId="24" xfId="0" applyNumberFormat="1" applyBorder="1"/>
    <xf numFmtId="0" fontId="0" fillId="0" borderId="21" xfId="0" applyFill="1" applyBorder="1"/>
    <xf numFmtId="165" fontId="0" fillId="0" borderId="4" xfId="0" applyNumberFormat="1" applyBorder="1"/>
    <xf numFmtId="2" fontId="0" fillId="0" borderId="4" xfId="0" applyNumberFormat="1" applyBorder="1"/>
    <xf numFmtId="3" fontId="0" fillId="0" borderId="25" xfId="0" applyNumberFormat="1" applyBorder="1"/>
    <xf numFmtId="168" fontId="2" fillId="4" borderId="22" xfId="7" applyNumberFormat="1" applyBorder="1"/>
    <xf numFmtId="168" fontId="2" fillId="4" borderId="15" xfId="7" applyNumberFormat="1" applyBorder="1"/>
    <xf numFmtId="0" fontId="0" fillId="0" borderId="26" xfId="0" applyBorder="1"/>
    <xf numFmtId="9" fontId="0" fillId="0" borderId="27" xfId="0" applyNumberFormat="1" applyBorder="1" applyAlignment="1">
      <alignment vertical="center" wrapText="1"/>
    </xf>
    <xf numFmtId="0" fontId="2" fillId="4" borderId="6" xfId="7" applyBorder="1"/>
    <xf numFmtId="1" fontId="0" fillId="0" borderId="21" xfId="0" applyNumberFormat="1" applyBorder="1"/>
    <xf numFmtId="0" fontId="2" fillId="4" borderId="22" xfId="7" applyBorder="1"/>
    <xf numFmtId="0" fontId="3" fillId="0" borderId="16" xfId="0" applyFont="1" applyFill="1" applyBorder="1"/>
    <xf numFmtId="0" fontId="0" fillId="0" borderId="18" xfId="0" applyBorder="1"/>
    <xf numFmtId="0" fontId="0" fillId="0" borderId="24" xfId="0" applyBorder="1"/>
    <xf numFmtId="0" fontId="3" fillId="0" borderId="0" xfId="0" applyFont="1" applyAlignment="1"/>
    <xf numFmtId="0" fontId="0" fillId="0" borderId="25" xfId="0" applyBorder="1"/>
    <xf numFmtId="3" fontId="2" fillId="5" borderId="6" xfId="6" applyNumberFormat="1" applyBorder="1"/>
    <xf numFmtId="0" fontId="3" fillId="0" borderId="19" xfId="0" applyFont="1" applyBorder="1"/>
    <xf numFmtId="164" fontId="0" fillId="0" borderId="0" xfId="2" applyNumberFormat="1" applyFont="1" applyBorder="1"/>
    <xf numFmtId="0" fontId="0" fillId="0" borderId="37" xfId="0" applyBorder="1"/>
    <xf numFmtId="0" fontId="1" fillId="2" borderId="38" xfId="1" applyBorder="1" applyAlignment="1">
      <alignment horizontal="center"/>
    </xf>
    <xf numFmtId="9" fontId="0" fillId="0" borderId="17" xfId="0" applyNumberFormat="1" applyBorder="1"/>
    <xf numFmtId="0" fontId="0" fillId="0" borderId="0" xfId="0" applyBorder="1" applyAlignment="1">
      <alignment vertical="center" wrapText="1"/>
    </xf>
    <xf numFmtId="9" fontId="0" fillId="0" borderId="0" xfId="0" applyNumberForma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0" fillId="0" borderId="0" xfId="0" applyNumberFormat="1" applyBorder="1"/>
    <xf numFmtId="4" fontId="0" fillId="0" borderId="0" xfId="0" applyNumberFormat="1" applyBorder="1" applyAlignment="1">
      <alignment vertical="center" wrapText="1"/>
    </xf>
    <xf numFmtId="16" fontId="0" fillId="0" borderId="0" xfId="0" applyNumberFormat="1"/>
    <xf numFmtId="0" fontId="23" fillId="0" borderId="0" xfId="0" applyFont="1"/>
    <xf numFmtId="16" fontId="0" fillId="0" borderId="6" xfId="0" applyNumberFormat="1" applyBorder="1"/>
    <xf numFmtId="0" fontId="15" fillId="0" borderId="0" xfId="3" applyFill="1"/>
    <xf numFmtId="0" fontId="19" fillId="0" borderId="6" xfId="3" applyFont="1" applyFill="1" applyBorder="1"/>
    <xf numFmtId="14" fontId="19" fillId="0" borderId="6" xfId="3" applyNumberFormat="1" applyFont="1" applyFill="1" applyBorder="1" applyAlignment="1">
      <alignment horizontal="left"/>
    </xf>
    <xf numFmtId="3" fontId="19" fillId="0" borderId="6" xfId="3" applyNumberFormat="1" applyFont="1" applyFill="1" applyBorder="1"/>
    <xf numFmtId="0" fontId="20" fillId="0" borderId="0" xfId="3" applyFont="1" applyFill="1"/>
    <xf numFmtId="0" fontId="23" fillId="0" borderId="6" xfId="3" applyFont="1" applyFill="1" applyBorder="1"/>
    <xf numFmtId="0" fontId="24" fillId="0" borderId="6" xfId="4" applyFont="1" applyFill="1" applyBorder="1" applyAlignment="1"/>
    <xf numFmtId="0" fontId="10" fillId="0" borderId="16" xfId="0" applyFont="1" applyBorder="1"/>
    <xf numFmtId="0" fontId="0" fillId="0" borderId="19" xfId="0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2" borderId="1" xfId="1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24" xfId="0" applyNumberFormat="1" applyBorder="1"/>
    <xf numFmtId="0" fontId="1" fillId="2" borderId="39" xfId="1" applyBorder="1" applyAlignment="1">
      <alignment horizontal="center"/>
    </xf>
    <xf numFmtId="0" fontId="0" fillId="0" borderId="4" xfId="0" applyBorder="1" applyAlignment="1">
      <alignment horizontal="center"/>
    </xf>
    <xf numFmtId="164" fontId="2" fillId="5" borderId="22" xfId="2" applyNumberFormat="1" applyFill="1" applyBorder="1"/>
    <xf numFmtId="9" fontId="0" fillId="0" borderId="25" xfId="0" applyNumberFormat="1" applyBorder="1"/>
    <xf numFmtId="0" fontId="18" fillId="0" borderId="16" xfId="0" applyFont="1" applyBorder="1"/>
    <xf numFmtId="0" fontId="1" fillId="2" borderId="40" xfId="1" applyBorder="1"/>
    <xf numFmtId="0" fontId="0" fillId="0" borderId="41" xfId="0" applyBorder="1"/>
    <xf numFmtId="0" fontId="0" fillId="0" borderId="20" xfId="0" applyBorder="1" applyAlignment="1">
      <alignment vertical="center" wrapText="1"/>
    </xf>
    <xf numFmtId="2" fontId="2" fillId="5" borderId="20" xfId="6" applyNumberFormat="1" applyBorder="1"/>
    <xf numFmtId="1" fontId="2" fillId="4" borderId="6" xfId="7" applyNumberFormat="1" applyBorder="1"/>
    <xf numFmtId="1" fontId="0" fillId="0" borderId="24" xfId="0" applyNumberFormat="1" applyBorder="1"/>
    <xf numFmtId="0" fontId="0" fillId="0" borderId="41" xfId="0" applyFill="1" applyBorder="1"/>
    <xf numFmtId="0" fontId="3" fillId="0" borderId="19" xfId="0" applyFont="1" applyFill="1" applyBorder="1"/>
    <xf numFmtId="0" fontId="0" fillId="0" borderId="42" xfId="0" applyFill="1" applyBorder="1"/>
    <xf numFmtId="0" fontId="19" fillId="0" borderId="14" xfId="3" applyFont="1" applyFill="1" applyBorder="1" applyAlignment="1">
      <alignment horizontal="left" vertical="top" wrapText="1"/>
    </xf>
    <xf numFmtId="0" fontId="19" fillId="0" borderId="15" xfId="3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22" fillId="0" borderId="6" xfId="0" applyFont="1" applyFill="1" applyBorder="1" applyAlignment="1">
      <alignment horizontal="left" vertical="center" wrapText="1"/>
    </xf>
    <xf numFmtId="0" fontId="15" fillId="0" borderId="0" xfId="3" applyFill="1" applyAlignment="1">
      <alignment horizontal="center"/>
    </xf>
    <xf numFmtId="0" fontId="21" fillId="0" borderId="0" xfId="3" applyFont="1" applyFill="1" applyAlignment="1">
      <alignment horizontal="center"/>
    </xf>
    <xf numFmtId="0" fontId="2" fillId="5" borderId="6" xfId="6" applyBorder="1" applyAlignment="1">
      <alignment horizontal="center"/>
    </xf>
    <xf numFmtId="0" fontId="2" fillId="4" borderId="6" xfId="7" applyBorder="1" applyAlignment="1">
      <alignment horizontal="center"/>
    </xf>
    <xf numFmtId="0" fontId="1" fillId="2" borderId="6" xfId="1" applyBorder="1" applyAlignment="1">
      <alignment horizontal="center"/>
    </xf>
    <xf numFmtId="0" fontId="19" fillId="0" borderId="14" xfId="3" applyFont="1" applyFill="1" applyBorder="1" applyAlignment="1">
      <alignment horizontal="left" vertical="top"/>
    </xf>
    <xf numFmtId="0" fontId="19" fillId="0" borderId="15" xfId="3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2" fillId="5" borderId="6" xfId="6"/>
    <xf numFmtId="0" fontId="3" fillId="0" borderId="6" xfId="0" applyFont="1" applyBorder="1" applyAlignment="1">
      <alignment horizontal="center"/>
    </xf>
  </cellXfs>
  <cellStyles count="8">
    <cellStyle name="Dropdown" xfId="1" xr:uid="{F9789A24-442F-4DE9-BBBE-BCBBB8D8BF41}"/>
    <cellStyle name="Input celler" xfId="6" xr:uid="{42A5EAE1-EAA9-4D7C-A5F1-85A92100FA3B}"/>
    <cellStyle name="Input med beregnet tal. Må overksirves" xfId="7" xr:uid="{1FD24535-6ECD-448D-9384-83A34ACC7C67}"/>
    <cellStyle name="Link 2" xfId="4" xr:uid="{4FE6C2A8-95E2-46C2-9810-285F8A03553D}"/>
    <cellStyle name="Normal" xfId="0" builtinId="0"/>
    <cellStyle name="Normal 2" xfId="3" xr:uid="{B8D6F93D-476F-408B-B6FD-388B0908D38E}"/>
    <cellStyle name="Procent" xfId="2" builtinId="5"/>
    <cellStyle name="Procent 2" xfId="5" xr:uid="{4E85C44D-D518-46E9-8315-F47A60C63F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Total</a:t>
            </a:r>
            <a:r>
              <a:rPr lang="da-DK" baseline="0"/>
              <a:t> sanering i på en lokalitet med søer, smågrise og slagtegrise tager lang tid = 64 uger fra start til slut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'Sanerings skitser'!$G$12</c:f>
              <c:strCache>
                <c:ptCount val="1"/>
                <c:pt idx="0">
                  <c:v>So ugehold på stald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0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'Sanerings skitser'!$G$13:$G$80</c:f>
              <c:numCache>
                <c:formatCode>General</c:formatCode>
                <c:ptCount val="68"/>
                <c:pt idx="0">
                  <c:v>21</c:v>
                </c:pt>
                <c:pt idx="1">
                  <c:v>20</c:v>
                </c:pt>
                <c:pt idx="2">
                  <c:v>19</c:v>
                </c:pt>
                <c:pt idx="3">
                  <c:v>18</c:v>
                </c:pt>
                <c:pt idx="4">
                  <c:v>17</c:v>
                </c:pt>
                <c:pt idx="5">
                  <c:v>16</c:v>
                </c:pt>
                <c:pt idx="6">
                  <c:v>15</c:v>
                </c:pt>
                <c:pt idx="7">
                  <c:v>14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21</c:v>
                </c:pt>
                <c:pt idx="44">
                  <c:v>21</c:v>
                </c:pt>
                <c:pt idx="45">
                  <c:v>21</c:v>
                </c:pt>
                <c:pt idx="46">
                  <c:v>21</c:v>
                </c:pt>
                <c:pt idx="47">
                  <c:v>21</c:v>
                </c:pt>
                <c:pt idx="48">
                  <c:v>21</c:v>
                </c:pt>
                <c:pt idx="49">
                  <c:v>21</c:v>
                </c:pt>
                <c:pt idx="50">
                  <c:v>21</c:v>
                </c:pt>
                <c:pt idx="51">
                  <c:v>21</c:v>
                </c:pt>
                <c:pt idx="52">
                  <c:v>21</c:v>
                </c:pt>
                <c:pt idx="53">
                  <c:v>21</c:v>
                </c:pt>
                <c:pt idx="54">
                  <c:v>21</c:v>
                </c:pt>
                <c:pt idx="55">
                  <c:v>21</c:v>
                </c:pt>
                <c:pt idx="56">
                  <c:v>21</c:v>
                </c:pt>
                <c:pt idx="57">
                  <c:v>21</c:v>
                </c:pt>
                <c:pt idx="58">
                  <c:v>21</c:v>
                </c:pt>
                <c:pt idx="59">
                  <c:v>21</c:v>
                </c:pt>
                <c:pt idx="60">
                  <c:v>21</c:v>
                </c:pt>
                <c:pt idx="61">
                  <c:v>21</c:v>
                </c:pt>
                <c:pt idx="62">
                  <c:v>21</c:v>
                </c:pt>
                <c:pt idx="63">
                  <c:v>21</c:v>
                </c:pt>
                <c:pt idx="64">
                  <c:v>21</c:v>
                </c:pt>
                <c:pt idx="65">
                  <c:v>21</c:v>
                </c:pt>
                <c:pt idx="66">
                  <c:v>21</c:v>
                </c:pt>
                <c:pt idx="6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66-4182-9ECC-6C8CC7EBDD0D}"/>
            </c:ext>
          </c:extLst>
        </c:ser>
        <c:ser>
          <c:idx val="2"/>
          <c:order val="1"/>
          <c:tx>
            <c:strRef>
              <c:f>'Sanerings skitser'!$H$12</c:f>
              <c:strCache>
                <c:ptCount val="1"/>
                <c:pt idx="0">
                  <c:v>Smågrise ugehold på stald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rgbClr val="FFFF00"/>
              </a:solidFill>
            </a:ln>
            <a:effectLst/>
          </c:spPr>
          <c:invertIfNegative val="0"/>
          <c:dLbls>
            <c:spPr>
              <a:solidFill>
                <a:srgbClr val="00B0F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'Sanerings skitser'!$H$13:$H$80</c:f>
              <c:numCache>
                <c:formatCode>General</c:formatCode>
                <c:ptCount val="68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8</c:v>
                </c:pt>
                <c:pt idx="13">
                  <c:v>8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8</c:v>
                </c:pt>
                <c:pt idx="55">
                  <c:v>8</c:v>
                </c:pt>
                <c:pt idx="56">
                  <c:v>8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8</c:v>
                </c:pt>
                <c:pt idx="61">
                  <c:v>8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66-4182-9ECC-6C8CC7EBDD0D}"/>
            </c:ext>
          </c:extLst>
        </c:ser>
        <c:ser>
          <c:idx val="3"/>
          <c:order val="2"/>
          <c:tx>
            <c:strRef>
              <c:f>'Sanerings skitser'!$I$12</c:f>
              <c:strCache>
                <c:ptCount val="1"/>
                <c:pt idx="0">
                  <c:v>Slagtegrise ugehold på stald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00206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'Sanerings skitser'!$I$13:$I$80</c:f>
              <c:numCache>
                <c:formatCode>General</c:formatCode>
                <c:ptCount val="68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51">
                  <c:v>1</c:v>
                </c:pt>
                <c:pt idx="52">
                  <c:v>2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6</c:v>
                </c:pt>
                <c:pt idx="57">
                  <c:v>7</c:v>
                </c:pt>
                <c:pt idx="58">
                  <c:v>8</c:v>
                </c:pt>
                <c:pt idx="59">
                  <c:v>9</c:v>
                </c:pt>
                <c:pt idx="60">
                  <c:v>10</c:v>
                </c:pt>
                <c:pt idx="61">
                  <c:v>11</c:v>
                </c:pt>
                <c:pt idx="62">
                  <c:v>12</c:v>
                </c:pt>
                <c:pt idx="63">
                  <c:v>13</c:v>
                </c:pt>
                <c:pt idx="64">
                  <c:v>13</c:v>
                </c:pt>
                <c:pt idx="65">
                  <c:v>13</c:v>
                </c:pt>
                <c:pt idx="66">
                  <c:v>13</c:v>
                </c:pt>
                <c:pt idx="6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66-4182-9ECC-6C8CC7EBD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49084064"/>
        <c:axId val="674567064"/>
      </c:barChart>
      <c:catAx>
        <c:axId val="449084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Uger</a:t>
                </a:r>
                <a:r>
                  <a:rPr lang="da-DK" baseline="0"/>
                  <a:t> start til slut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567064"/>
        <c:crosses val="autoZero"/>
        <c:auto val="1"/>
        <c:lblAlgn val="ctr"/>
        <c:lblOffset val="100"/>
        <c:noMultiLvlLbl val="0"/>
      </c:catAx>
      <c:valAx>
        <c:axId val="674567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Uge hol </a:t>
                </a:r>
                <a:r>
                  <a:rPr lang="da-DK" baseline="0"/>
                  <a:t> på stald</a:t>
                </a:r>
                <a:endParaRPr lang="da-D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4908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a-DK"/>
              <a:t>Staldudnyttelse</a:t>
            </a:r>
            <a:r>
              <a:rPr lang="da-DK" baseline="0"/>
              <a:t> ved sanering søer: 21 uger med afvikling + 1 uge tom lokalitet + 21 uger genopbygning</a:t>
            </a:r>
          </a:p>
          <a:p>
            <a:pPr>
              <a:defRPr/>
            </a:pPr>
            <a:r>
              <a:rPr lang="da-DK" baseline="0"/>
              <a:t>Gns. staldudnyttelse: afviklingstid * 50 % + tomtid *100 % +genopbygningstid *50%</a:t>
            </a:r>
            <a:endParaRPr lang="da-D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'Sanerings skitser'!$G$12</c:f>
              <c:strCache>
                <c:ptCount val="1"/>
                <c:pt idx="0">
                  <c:v>So ugehold på stald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solidFill>
                <a:srgbClr val="FF0000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a-D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'Sanerings skitser'!$G$13:$G$80</c:f>
              <c:numCache>
                <c:formatCode>General</c:formatCode>
                <c:ptCount val="68"/>
                <c:pt idx="0">
                  <c:v>21</c:v>
                </c:pt>
                <c:pt idx="1">
                  <c:v>20</c:v>
                </c:pt>
                <c:pt idx="2">
                  <c:v>19</c:v>
                </c:pt>
                <c:pt idx="3">
                  <c:v>18</c:v>
                </c:pt>
                <c:pt idx="4">
                  <c:v>17</c:v>
                </c:pt>
                <c:pt idx="5">
                  <c:v>16</c:v>
                </c:pt>
                <c:pt idx="6">
                  <c:v>15</c:v>
                </c:pt>
                <c:pt idx="7">
                  <c:v>14</c:v>
                </c:pt>
                <c:pt idx="8">
                  <c:v>13</c:v>
                </c:pt>
                <c:pt idx="9">
                  <c:v>12</c:v>
                </c:pt>
                <c:pt idx="10">
                  <c:v>11</c:v>
                </c:pt>
                <c:pt idx="11">
                  <c:v>10</c:v>
                </c:pt>
                <c:pt idx="12">
                  <c:v>9</c:v>
                </c:pt>
                <c:pt idx="13">
                  <c:v>8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3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21</c:v>
                </c:pt>
                <c:pt idx="44">
                  <c:v>21</c:v>
                </c:pt>
                <c:pt idx="45">
                  <c:v>21</c:v>
                </c:pt>
                <c:pt idx="46">
                  <c:v>21</c:v>
                </c:pt>
                <c:pt idx="47">
                  <c:v>21</c:v>
                </c:pt>
                <c:pt idx="48">
                  <c:v>21</c:v>
                </c:pt>
                <c:pt idx="49">
                  <c:v>21</c:v>
                </c:pt>
                <c:pt idx="50">
                  <c:v>21</c:v>
                </c:pt>
                <c:pt idx="51">
                  <c:v>21</c:v>
                </c:pt>
                <c:pt idx="52">
                  <c:v>21</c:v>
                </c:pt>
                <c:pt idx="53">
                  <c:v>21</c:v>
                </c:pt>
                <c:pt idx="54">
                  <c:v>21</c:v>
                </c:pt>
                <c:pt idx="55">
                  <c:v>21</c:v>
                </c:pt>
                <c:pt idx="56">
                  <c:v>21</c:v>
                </c:pt>
                <c:pt idx="57">
                  <c:v>21</c:v>
                </c:pt>
                <c:pt idx="58">
                  <c:v>21</c:v>
                </c:pt>
                <c:pt idx="59">
                  <c:v>21</c:v>
                </c:pt>
                <c:pt idx="60">
                  <c:v>21</c:v>
                </c:pt>
                <c:pt idx="61">
                  <c:v>21</c:v>
                </c:pt>
                <c:pt idx="62">
                  <c:v>21</c:v>
                </c:pt>
                <c:pt idx="63">
                  <c:v>21</c:v>
                </c:pt>
                <c:pt idx="64">
                  <c:v>21</c:v>
                </c:pt>
                <c:pt idx="65">
                  <c:v>21</c:v>
                </c:pt>
                <c:pt idx="66">
                  <c:v>21</c:v>
                </c:pt>
                <c:pt idx="6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F2-4499-8C74-0AE6860C1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449084064"/>
        <c:axId val="674567064"/>
      </c:barChart>
      <c:catAx>
        <c:axId val="4490840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674567064"/>
        <c:crosses val="autoZero"/>
        <c:auto val="1"/>
        <c:lblAlgn val="ctr"/>
        <c:lblOffset val="100"/>
        <c:noMultiLvlLbl val="0"/>
      </c:catAx>
      <c:valAx>
        <c:axId val="674567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44908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180976</xdr:rowOff>
    </xdr:from>
    <xdr:to>
      <xdr:col>1</xdr:col>
      <xdr:colOff>1057275</xdr:colOff>
      <xdr:row>3</xdr:row>
      <xdr:rowOff>61986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495BC10-085B-4EF7-AAF1-ED48E1107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6325" y="180976"/>
          <a:ext cx="1019175" cy="452510"/>
        </a:xfrm>
        <a:prstGeom prst="rect">
          <a:avLst/>
        </a:prstGeom>
      </xdr:spPr>
    </xdr:pic>
    <xdr:clientData/>
  </xdr:twoCellAnchor>
  <xdr:twoCellAnchor editAs="oneCell">
    <xdr:from>
      <xdr:col>2</xdr:col>
      <xdr:colOff>57151</xdr:colOff>
      <xdr:row>0</xdr:row>
      <xdr:rowOff>152401</xdr:rowOff>
    </xdr:from>
    <xdr:to>
      <xdr:col>2</xdr:col>
      <xdr:colOff>4105275</xdr:colOff>
      <xdr:row>3</xdr:row>
      <xdr:rowOff>113761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DEBC0320-A85B-442D-AF5D-51756E109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52801" y="152401"/>
          <a:ext cx="4048124" cy="5328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514349</xdr:colOff>
      <xdr:row>15</xdr:row>
      <xdr:rowOff>128586</xdr:rowOff>
    </xdr:from>
    <xdr:to>
      <xdr:col>25</xdr:col>
      <xdr:colOff>600075</xdr:colOff>
      <xdr:row>43</xdr:row>
      <xdr:rowOff>28575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27EDDF8-0B31-E311-4915-2EAF1E2F07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0</xdr:colOff>
      <xdr:row>16</xdr:row>
      <xdr:rowOff>0</xdr:rowOff>
    </xdr:from>
    <xdr:to>
      <xdr:col>44</xdr:col>
      <xdr:colOff>85726</xdr:colOff>
      <xdr:row>43</xdr:row>
      <xdr:rowOff>52389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5BE37EA-F553-4208-8CA2-20DDA7DC3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delse&amp;&#216;konomi/Produktionsstyring%20Svin/Notater,meddelelser%20og%20rapporter/Regneark%20p&#229;%20nettet/Investeringskalkuler/Lanndbrugsinfo/lo_22_8627_ap1_Services_Beregninger_Rentabilitetsberegning_2022_signatu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ktion"/>
      <sheetName val="Vejledning"/>
      <sheetName val="Investerings kalkule m. makro"/>
      <sheetName val="Investerings kalkule u. makro"/>
      <sheetName val="Smågriseprise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B6">
            <v>89</v>
          </cell>
        </row>
        <row r="8">
          <cell r="B8">
            <v>0.32890000000000003</v>
          </cell>
        </row>
        <row r="9">
          <cell r="B9">
            <v>0.49490000000000001</v>
          </cell>
        </row>
        <row r="60">
          <cell r="A60" t="str">
            <v>Slagtesvine foder, kr. fesv</v>
          </cell>
          <cell r="B60" t="str">
            <v>Nulpunktsnotering</v>
          </cell>
          <cell r="C60" t="str">
            <v>DC not. nulpunkt</v>
          </cell>
          <cell r="D60" t="str">
            <v>7 kg</v>
          </cell>
          <cell r="E60" t="str">
            <v>30 kg</v>
          </cell>
          <cell r="F60" t="str">
            <v>0-7</v>
          </cell>
          <cell r="G60" t="str">
            <v>7-9 kg</v>
          </cell>
          <cell r="H60" t="str">
            <v>9-12 kg</v>
          </cell>
          <cell r="I60" t="str">
            <v>12-25 kg</v>
          </cell>
          <cell r="J60" t="str">
            <v>25-30 kg</v>
          </cell>
          <cell r="K60" t="str">
            <v>30-40 kg</v>
          </cell>
        </row>
        <row r="61">
          <cell r="A61">
            <v>1.42</v>
          </cell>
          <cell r="B61">
            <v>10.334666666666669</v>
          </cell>
          <cell r="C61">
            <v>8.9746666666666695</v>
          </cell>
          <cell r="D61">
            <v>228.56466666666665</v>
          </cell>
          <cell r="E61">
            <v>393.5386666666667</v>
          </cell>
          <cell r="F61">
            <v>9.6646666666666672</v>
          </cell>
          <cell r="G61">
            <v>6.6646666666666672</v>
          </cell>
          <cell r="H61">
            <v>13.639333333333335</v>
          </cell>
          <cell r="I61">
            <v>6.6800000000000006</v>
          </cell>
          <cell r="J61">
            <v>4.777333333333333</v>
          </cell>
          <cell r="K61">
            <v>5.1586666666666661</v>
          </cell>
        </row>
        <row r="62">
          <cell r="A62">
            <v>1.43</v>
          </cell>
          <cell r="B62">
            <v>10.372000000000003</v>
          </cell>
          <cell r="C62">
            <v>9.012000000000004</v>
          </cell>
          <cell r="D62">
            <v>229.077</v>
          </cell>
          <cell r="E62">
            <v>394.50800000000004</v>
          </cell>
          <cell r="F62">
            <v>9.7170000000000005</v>
          </cell>
          <cell r="G62">
            <v>6.7170000000000005</v>
          </cell>
          <cell r="H62">
            <v>13.639000000000003</v>
          </cell>
          <cell r="I62">
            <v>6.7000000000000011</v>
          </cell>
          <cell r="J62">
            <v>4.7959999999999994</v>
          </cell>
          <cell r="K62">
            <v>5.1829999999999998</v>
          </cell>
        </row>
        <row r="63">
          <cell r="A63">
            <v>1.44</v>
          </cell>
          <cell r="B63">
            <v>10.409333333333336</v>
          </cell>
          <cell r="C63">
            <v>9.0493333333333368</v>
          </cell>
          <cell r="D63">
            <v>229.58933333333334</v>
          </cell>
          <cell r="E63">
            <v>395.47733333333338</v>
          </cell>
          <cell r="F63">
            <v>9.7693333333333339</v>
          </cell>
          <cell r="G63">
            <v>6.7693333333333339</v>
          </cell>
          <cell r="H63">
            <v>13.638666666666669</v>
          </cell>
          <cell r="I63">
            <v>6.7200000000000006</v>
          </cell>
          <cell r="J63">
            <v>4.8146666666666658</v>
          </cell>
          <cell r="K63">
            <v>5.2073333333333327</v>
          </cell>
        </row>
        <row r="64">
          <cell r="A64">
            <v>1.45</v>
          </cell>
          <cell r="B64">
            <v>10.446666666666669</v>
          </cell>
          <cell r="C64">
            <v>9.0866666666666696</v>
          </cell>
          <cell r="D64">
            <v>230.10166666666666</v>
          </cell>
          <cell r="E64">
            <v>396.44666666666672</v>
          </cell>
          <cell r="F64">
            <v>9.8216666666666672</v>
          </cell>
          <cell r="G64">
            <v>6.8216666666666672</v>
          </cell>
          <cell r="H64">
            <v>13.638333333333335</v>
          </cell>
          <cell r="I64">
            <v>6.74</v>
          </cell>
          <cell r="J64">
            <v>4.8333333333333321</v>
          </cell>
          <cell r="K64">
            <v>5.2316666666666656</v>
          </cell>
        </row>
        <row r="65">
          <cell r="A65">
            <v>1.46</v>
          </cell>
          <cell r="B65">
            <v>10.484000000000002</v>
          </cell>
          <cell r="C65">
            <v>9.1240000000000023</v>
          </cell>
          <cell r="D65">
            <v>230.61399999999998</v>
          </cell>
          <cell r="E65">
            <v>397.41600000000005</v>
          </cell>
          <cell r="F65">
            <v>9.8740000000000006</v>
          </cell>
          <cell r="G65">
            <v>6.8740000000000006</v>
          </cell>
          <cell r="H65">
            <v>13.638000000000002</v>
          </cell>
          <cell r="I65">
            <v>6.7600000000000007</v>
          </cell>
          <cell r="J65">
            <v>4.8519999999999985</v>
          </cell>
          <cell r="K65">
            <v>5.2560000000000002</v>
          </cell>
        </row>
        <row r="66">
          <cell r="A66">
            <v>1.47</v>
          </cell>
          <cell r="B66">
            <v>10.521333333333335</v>
          </cell>
          <cell r="C66">
            <v>9.1613333333333351</v>
          </cell>
          <cell r="D66">
            <v>231.12633333333332</v>
          </cell>
          <cell r="E66">
            <v>398.38533333333339</v>
          </cell>
          <cell r="F66">
            <v>9.9263333333333339</v>
          </cell>
          <cell r="G66">
            <v>6.9263333333333339</v>
          </cell>
          <cell r="H66">
            <v>13.637666666666668</v>
          </cell>
          <cell r="I66">
            <v>6.7800000000000011</v>
          </cell>
          <cell r="J66">
            <v>4.8706666666666658</v>
          </cell>
          <cell r="K66">
            <v>5.2803333333333331</v>
          </cell>
        </row>
        <row r="67">
          <cell r="A67">
            <v>1.48</v>
          </cell>
          <cell r="B67">
            <v>10.558666666666669</v>
          </cell>
          <cell r="C67">
            <v>9.1986666666666697</v>
          </cell>
          <cell r="D67">
            <v>231.63866666666667</v>
          </cell>
          <cell r="E67">
            <v>399.35466666666673</v>
          </cell>
          <cell r="F67">
            <v>9.9786666666666672</v>
          </cell>
          <cell r="G67">
            <v>6.9786666666666672</v>
          </cell>
          <cell r="H67">
            <v>13.637333333333336</v>
          </cell>
          <cell r="I67">
            <v>6.8000000000000007</v>
          </cell>
          <cell r="J67">
            <v>4.8893333333333331</v>
          </cell>
          <cell r="K67">
            <v>5.304666666666666</v>
          </cell>
        </row>
        <row r="68">
          <cell r="A68">
            <v>1.49</v>
          </cell>
          <cell r="B68">
            <v>10.596000000000004</v>
          </cell>
          <cell r="C68">
            <v>9.2360000000000042</v>
          </cell>
          <cell r="D68">
            <v>232.15099999999998</v>
          </cell>
          <cell r="E68">
            <v>400.32400000000007</v>
          </cell>
          <cell r="F68">
            <v>10.031000000000001</v>
          </cell>
          <cell r="G68">
            <v>7.0310000000000006</v>
          </cell>
          <cell r="H68">
            <v>13.637000000000002</v>
          </cell>
          <cell r="I68">
            <v>6.82</v>
          </cell>
          <cell r="J68">
            <v>4.9079999999999995</v>
          </cell>
          <cell r="K68">
            <v>5.3289999999999997</v>
          </cell>
        </row>
        <row r="69">
          <cell r="A69">
            <v>1.5</v>
          </cell>
          <cell r="B69">
            <v>10.633333333333336</v>
          </cell>
          <cell r="C69">
            <v>9.273333333333337</v>
          </cell>
          <cell r="D69">
            <v>232.66333333333333</v>
          </cell>
          <cell r="E69">
            <v>401.29333333333341</v>
          </cell>
          <cell r="F69">
            <v>10.083333333333334</v>
          </cell>
          <cell r="G69">
            <v>7.0833333333333339</v>
          </cell>
          <cell r="H69">
            <v>13.636666666666668</v>
          </cell>
          <cell r="I69">
            <v>6.8400000000000007</v>
          </cell>
          <cell r="J69">
            <v>4.9266666666666659</v>
          </cell>
          <cell r="K69">
            <v>5.3533333333333335</v>
          </cell>
        </row>
        <row r="70">
          <cell r="A70">
            <v>1.51</v>
          </cell>
          <cell r="B70">
            <v>10.670666666666669</v>
          </cell>
          <cell r="C70">
            <v>9.3106666666666698</v>
          </cell>
          <cell r="D70">
            <v>233.17566666666664</v>
          </cell>
          <cell r="E70">
            <v>402.26266666666675</v>
          </cell>
          <cell r="F70">
            <v>10.135666666666665</v>
          </cell>
          <cell r="G70">
            <v>7.1356666666666664</v>
          </cell>
          <cell r="H70">
            <v>13.636333333333335</v>
          </cell>
          <cell r="I70">
            <v>6.86</v>
          </cell>
          <cell r="J70">
            <v>4.9453333333333322</v>
          </cell>
          <cell r="K70">
            <v>5.3776666666666664</v>
          </cell>
        </row>
        <row r="71">
          <cell r="A71">
            <v>1.52</v>
          </cell>
          <cell r="B71">
            <v>10.708000000000002</v>
          </cell>
          <cell r="C71">
            <v>9.3480000000000025</v>
          </cell>
          <cell r="D71">
            <v>233.68799999999999</v>
          </cell>
          <cell r="E71">
            <v>403.23200000000008</v>
          </cell>
          <cell r="F71">
            <v>10.187999999999999</v>
          </cell>
          <cell r="G71">
            <v>7.1879999999999997</v>
          </cell>
          <cell r="H71">
            <v>13.636000000000001</v>
          </cell>
          <cell r="I71">
            <v>6.8800000000000008</v>
          </cell>
          <cell r="J71">
            <v>4.9639999999999995</v>
          </cell>
          <cell r="K71">
            <v>5.4019999999999992</v>
          </cell>
        </row>
        <row r="72">
          <cell r="A72">
            <v>1.53</v>
          </cell>
          <cell r="B72">
            <v>10.745333333333335</v>
          </cell>
          <cell r="C72">
            <v>9.3853333333333353</v>
          </cell>
          <cell r="D72">
            <v>234.20033333333333</v>
          </cell>
          <cell r="E72">
            <v>404.20133333333342</v>
          </cell>
          <cell r="F72">
            <v>10.240333333333334</v>
          </cell>
          <cell r="G72">
            <v>7.240333333333334</v>
          </cell>
          <cell r="H72">
            <v>13.635666666666669</v>
          </cell>
          <cell r="I72">
            <v>6.9</v>
          </cell>
          <cell r="J72">
            <v>4.9826666666666659</v>
          </cell>
          <cell r="K72">
            <v>5.426333333333333</v>
          </cell>
        </row>
        <row r="73">
          <cell r="A73">
            <v>1.54</v>
          </cell>
          <cell r="B73">
            <v>10.782666666666669</v>
          </cell>
          <cell r="C73">
            <v>9.4226666666666699</v>
          </cell>
          <cell r="D73">
            <v>234.71266666666665</v>
          </cell>
          <cell r="E73">
            <v>405.17066666666676</v>
          </cell>
          <cell r="F73">
            <v>10.292666666666667</v>
          </cell>
          <cell r="G73">
            <v>7.2926666666666673</v>
          </cell>
          <cell r="H73">
            <v>13.635333333333335</v>
          </cell>
          <cell r="I73">
            <v>6.92</v>
          </cell>
          <cell r="J73">
            <v>5.0013333333333332</v>
          </cell>
          <cell r="K73">
            <v>5.4506666666666668</v>
          </cell>
        </row>
        <row r="74">
          <cell r="A74">
            <v>1.55</v>
          </cell>
          <cell r="B74">
            <v>10.820000000000002</v>
          </cell>
          <cell r="C74">
            <v>9.4600000000000026</v>
          </cell>
          <cell r="D74">
            <v>235.22499999999997</v>
          </cell>
          <cell r="E74">
            <v>406.14000000000004</v>
          </cell>
          <cell r="F74">
            <v>10.345000000000001</v>
          </cell>
          <cell r="G74">
            <v>7.3450000000000006</v>
          </cell>
          <cell r="H74">
            <v>13.635000000000002</v>
          </cell>
          <cell r="I74">
            <v>6.94</v>
          </cell>
          <cell r="J74">
            <v>5.0199999999999996</v>
          </cell>
          <cell r="K74">
            <v>5.4749999999999996</v>
          </cell>
        </row>
        <row r="75">
          <cell r="A75">
            <v>1.56</v>
          </cell>
          <cell r="B75">
            <v>10.857333333333337</v>
          </cell>
          <cell r="C75">
            <v>9.4973333333333372</v>
          </cell>
          <cell r="D75">
            <v>235.73733333333331</v>
          </cell>
          <cell r="E75">
            <v>407.10933333333338</v>
          </cell>
          <cell r="F75">
            <v>10.397333333333334</v>
          </cell>
          <cell r="G75">
            <v>7.397333333333334</v>
          </cell>
          <cell r="H75">
            <v>13.634666666666668</v>
          </cell>
          <cell r="I75">
            <v>6.9600000000000009</v>
          </cell>
          <cell r="J75">
            <v>5.038666666666666</v>
          </cell>
          <cell r="K75">
            <v>5.4993333333333334</v>
          </cell>
        </row>
        <row r="76">
          <cell r="A76">
            <v>1.57</v>
          </cell>
          <cell r="B76">
            <v>10.894666666666669</v>
          </cell>
          <cell r="C76">
            <v>9.53466666666667</v>
          </cell>
          <cell r="D76">
            <v>236.24966666666666</v>
          </cell>
          <cell r="E76">
            <v>408.07866666666672</v>
          </cell>
          <cell r="F76">
            <v>10.449666666666667</v>
          </cell>
          <cell r="G76">
            <v>7.4496666666666673</v>
          </cell>
          <cell r="H76">
            <v>13.634333333333334</v>
          </cell>
          <cell r="I76">
            <v>6.98</v>
          </cell>
          <cell r="J76">
            <v>5.0573333333333323</v>
          </cell>
          <cell r="K76">
            <v>5.5236666666666672</v>
          </cell>
        </row>
        <row r="77">
          <cell r="A77">
            <v>1.58</v>
          </cell>
          <cell r="B77">
            <v>10.932000000000002</v>
          </cell>
          <cell r="C77">
            <v>9.5720000000000027</v>
          </cell>
          <cell r="D77">
            <v>236.762</v>
          </cell>
          <cell r="E77">
            <v>409.04800000000006</v>
          </cell>
          <cell r="F77">
            <v>10.502000000000001</v>
          </cell>
          <cell r="G77">
            <v>7.5020000000000007</v>
          </cell>
          <cell r="H77">
            <v>13.634000000000002</v>
          </cell>
          <cell r="I77">
            <v>7</v>
          </cell>
          <cell r="J77">
            <v>5.0759999999999996</v>
          </cell>
          <cell r="K77">
            <v>5.548</v>
          </cell>
        </row>
        <row r="78">
          <cell r="A78">
            <v>1.59</v>
          </cell>
          <cell r="B78">
            <v>10.969333333333335</v>
          </cell>
          <cell r="C78">
            <v>9.6093333333333355</v>
          </cell>
          <cell r="D78">
            <v>237.27433333333332</v>
          </cell>
          <cell r="E78">
            <v>410.0173333333334</v>
          </cell>
          <cell r="F78">
            <v>10.554333333333334</v>
          </cell>
          <cell r="G78">
            <v>7.554333333333334</v>
          </cell>
          <cell r="H78">
            <v>13.633666666666668</v>
          </cell>
          <cell r="I78">
            <v>7.0200000000000005</v>
          </cell>
          <cell r="J78">
            <v>5.094666666666666</v>
          </cell>
          <cell r="K78">
            <v>5.5723333333333329</v>
          </cell>
        </row>
        <row r="79">
          <cell r="A79">
            <v>1.6</v>
          </cell>
          <cell r="B79">
            <v>11.006666666666669</v>
          </cell>
          <cell r="C79">
            <v>9.6466666666666701</v>
          </cell>
          <cell r="D79">
            <v>237.78666666666663</v>
          </cell>
          <cell r="E79">
            <v>410.98666666666674</v>
          </cell>
          <cell r="F79">
            <v>10.606666666666667</v>
          </cell>
          <cell r="G79">
            <v>7.6066666666666674</v>
          </cell>
          <cell r="H79">
            <v>13.633333333333335</v>
          </cell>
          <cell r="I79">
            <v>7.0400000000000009</v>
          </cell>
          <cell r="J79">
            <v>5.1133333333333333</v>
          </cell>
          <cell r="K79">
            <v>5.5966666666666667</v>
          </cell>
        </row>
        <row r="80">
          <cell r="A80">
            <v>1.61</v>
          </cell>
          <cell r="B80">
            <v>11.044000000000002</v>
          </cell>
          <cell r="C80">
            <v>9.6840000000000028</v>
          </cell>
          <cell r="D80">
            <v>238.29899999999998</v>
          </cell>
          <cell r="E80">
            <v>411.95600000000002</v>
          </cell>
          <cell r="F80">
            <v>10.659000000000001</v>
          </cell>
          <cell r="G80">
            <v>7.6590000000000007</v>
          </cell>
          <cell r="H80">
            <v>13.633000000000001</v>
          </cell>
          <cell r="I80">
            <v>7.0600000000000005</v>
          </cell>
          <cell r="J80">
            <v>5.1319999999999997</v>
          </cell>
          <cell r="K80">
            <v>5.6210000000000004</v>
          </cell>
        </row>
        <row r="81">
          <cell r="A81">
            <v>1.62</v>
          </cell>
          <cell r="B81">
            <v>11.081333333333337</v>
          </cell>
          <cell r="C81">
            <v>9.7213333333333374</v>
          </cell>
          <cell r="D81">
            <v>238.81133333333332</v>
          </cell>
          <cell r="E81">
            <v>412.92533333333336</v>
          </cell>
          <cell r="F81">
            <v>10.711333333333334</v>
          </cell>
          <cell r="G81">
            <v>7.711333333333334</v>
          </cell>
          <cell r="H81">
            <v>13.632666666666667</v>
          </cell>
          <cell r="I81">
            <v>7.08</v>
          </cell>
          <cell r="J81">
            <v>5.1506666666666661</v>
          </cell>
          <cell r="K81">
            <v>5.6453333333333333</v>
          </cell>
        </row>
        <row r="82">
          <cell r="A82">
            <v>1.63</v>
          </cell>
          <cell r="B82">
            <v>11.11866666666667</v>
          </cell>
          <cell r="C82">
            <v>9.7586666666666702</v>
          </cell>
          <cell r="D82">
            <v>239.32366666666664</v>
          </cell>
          <cell r="E82">
            <v>413.89466666666669</v>
          </cell>
          <cell r="F82">
            <v>10.763666666666666</v>
          </cell>
          <cell r="G82">
            <v>7.7636666666666656</v>
          </cell>
          <cell r="H82">
            <v>13.632333333333335</v>
          </cell>
          <cell r="I82">
            <v>7.1</v>
          </cell>
          <cell r="J82">
            <v>5.1693333333333324</v>
          </cell>
          <cell r="K82">
            <v>5.6696666666666662</v>
          </cell>
        </row>
        <row r="83">
          <cell r="A83">
            <v>1.64</v>
          </cell>
          <cell r="B83">
            <v>11.156000000000002</v>
          </cell>
          <cell r="C83">
            <v>9.7960000000000029</v>
          </cell>
          <cell r="D83">
            <v>239.83599999999996</v>
          </cell>
          <cell r="E83">
            <v>414.86400000000003</v>
          </cell>
          <cell r="F83">
            <v>10.815999999999999</v>
          </cell>
          <cell r="G83">
            <v>7.8159999999999989</v>
          </cell>
          <cell r="H83">
            <v>13.632000000000001</v>
          </cell>
          <cell r="I83">
            <v>7.12</v>
          </cell>
          <cell r="J83">
            <v>5.1879999999999988</v>
          </cell>
          <cell r="K83">
            <v>5.6939999999999991</v>
          </cell>
        </row>
        <row r="84">
          <cell r="A84">
            <v>1.65</v>
          </cell>
          <cell r="B84">
            <v>11.193333333333335</v>
          </cell>
          <cell r="C84">
            <v>9.8333333333333357</v>
          </cell>
          <cell r="D84">
            <v>240.3483333333333</v>
          </cell>
          <cell r="E84">
            <v>415.83333333333337</v>
          </cell>
          <cell r="F84">
            <v>10.868333333333332</v>
          </cell>
          <cell r="G84">
            <v>7.8683333333333323</v>
          </cell>
          <cell r="H84">
            <v>13.631666666666668</v>
          </cell>
          <cell r="I84">
            <v>7.1400000000000006</v>
          </cell>
          <cell r="J84">
            <v>5.2066666666666661</v>
          </cell>
          <cell r="K84">
            <v>5.7183333333333328</v>
          </cell>
        </row>
        <row r="85">
          <cell r="A85">
            <v>1.66</v>
          </cell>
          <cell r="B85">
            <v>11.230666666666668</v>
          </cell>
          <cell r="C85">
            <v>9.8706666666666685</v>
          </cell>
          <cell r="D85">
            <v>240.86066666666665</v>
          </cell>
          <cell r="E85">
            <v>416.80266666666671</v>
          </cell>
          <cell r="F85">
            <v>10.920666666666666</v>
          </cell>
          <cell r="G85">
            <v>7.9206666666666656</v>
          </cell>
          <cell r="H85">
            <v>13.631333333333334</v>
          </cell>
          <cell r="I85">
            <v>7.16</v>
          </cell>
          <cell r="J85">
            <v>5.2253333333333325</v>
          </cell>
          <cell r="K85">
            <v>5.7426666666666666</v>
          </cell>
        </row>
        <row r="86">
          <cell r="A86">
            <v>1.67</v>
          </cell>
          <cell r="B86">
            <v>11.268000000000001</v>
          </cell>
          <cell r="C86">
            <v>9.9080000000000013</v>
          </cell>
          <cell r="D86">
            <v>241.37299999999996</v>
          </cell>
          <cell r="E86">
            <v>417.77200000000005</v>
          </cell>
          <cell r="F86">
            <v>10.972999999999999</v>
          </cell>
          <cell r="G86">
            <v>7.972999999999999</v>
          </cell>
          <cell r="H86">
            <v>13.631</v>
          </cell>
          <cell r="I86">
            <v>7.18</v>
          </cell>
          <cell r="J86">
            <v>5.2439999999999998</v>
          </cell>
          <cell r="K86">
            <v>5.7669999999999995</v>
          </cell>
        </row>
        <row r="87">
          <cell r="A87">
            <v>1.68</v>
          </cell>
          <cell r="B87">
            <v>11.305333333333335</v>
          </cell>
          <cell r="C87">
            <v>9.9453333333333358</v>
          </cell>
          <cell r="D87">
            <v>241.88533333333331</v>
          </cell>
          <cell r="E87">
            <v>418.74133333333339</v>
          </cell>
          <cell r="F87">
            <v>11.025333333333332</v>
          </cell>
          <cell r="G87">
            <v>8.0253333333333323</v>
          </cell>
          <cell r="H87">
            <v>13.630666666666668</v>
          </cell>
          <cell r="I87">
            <v>7.2</v>
          </cell>
          <cell r="J87">
            <v>5.2626666666666662</v>
          </cell>
          <cell r="K87">
            <v>5.7913333333333332</v>
          </cell>
        </row>
        <row r="88">
          <cell r="A88">
            <v>1.69</v>
          </cell>
          <cell r="B88">
            <v>11.342666666666668</v>
          </cell>
          <cell r="C88">
            <v>9.9826666666666686</v>
          </cell>
          <cell r="D88">
            <v>242.39766666666662</v>
          </cell>
          <cell r="E88">
            <v>419.71066666666673</v>
          </cell>
          <cell r="F88">
            <v>11.077666666666666</v>
          </cell>
          <cell r="G88">
            <v>8.0776666666666657</v>
          </cell>
          <cell r="H88">
            <v>13.630333333333335</v>
          </cell>
          <cell r="I88">
            <v>7.2200000000000006</v>
          </cell>
          <cell r="J88">
            <v>5.2813333333333325</v>
          </cell>
          <cell r="K88">
            <v>5.8156666666666661</v>
          </cell>
        </row>
        <row r="89">
          <cell r="A89">
            <v>1.7</v>
          </cell>
          <cell r="B89">
            <v>11.380000000000003</v>
          </cell>
          <cell r="C89">
            <v>10.020000000000003</v>
          </cell>
          <cell r="D89">
            <v>242.90999999999997</v>
          </cell>
          <cell r="E89">
            <v>420.68000000000006</v>
          </cell>
          <cell r="F89">
            <v>11.129999999999999</v>
          </cell>
          <cell r="G89">
            <v>8.129999999999999</v>
          </cell>
          <cell r="H89">
            <v>13.63</v>
          </cell>
          <cell r="I89">
            <v>7.24</v>
          </cell>
          <cell r="J89">
            <v>5.2999999999999989</v>
          </cell>
          <cell r="K89">
            <v>5.84</v>
          </cell>
        </row>
        <row r="90">
          <cell r="A90">
            <v>1.71</v>
          </cell>
          <cell r="B90">
            <v>11.417333333333335</v>
          </cell>
          <cell r="C90">
            <v>10.057333333333336</v>
          </cell>
          <cell r="D90">
            <v>243.42233333333331</v>
          </cell>
          <cell r="E90">
            <v>421.6493333333334</v>
          </cell>
          <cell r="F90">
            <v>11.182333333333332</v>
          </cell>
          <cell r="G90">
            <v>8.1823333333333323</v>
          </cell>
          <cell r="H90">
            <v>13.629666666666667</v>
          </cell>
          <cell r="I90">
            <v>7.26</v>
          </cell>
          <cell r="J90">
            <v>5.3186666666666662</v>
          </cell>
          <cell r="K90">
            <v>5.8643333333333336</v>
          </cell>
        </row>
        <row r="91">
          <cell r="A91">
            <v>1.72</v>
          </cell>
          <cell r="B91">
            <v>11.454666666666668</v>
          </cell>
          <cell r="C91">
            <v>10.094666666666669</v>
          </cell>
          <cell r="D91">
            <v>243.93466666666663</v>
          </cell>
          <cell r="E91">
            <v>422.61866666666674</v>
          </cell>
          <cell r="F91">
            <v>11.234666666666666</v>
          </cell>
          <cell r="G91">
            <v>8.2346666666666657</v>
          </cell>
          <cell r="H91">
            <v>13.629333333333333</v>
          </cell>
          <cell r="I91">
            <v>7.28</v>
          </cell>
          <cell r="J91">
            <v>5.3373333333333335</v>
          </cell>
          <cell r="K91">
            <v>5.8886666666666665</v>
          </cell>
        </row>
        <row r="92">
          <cell r="A92">
            <v>1.73</v>
          </cell>
          <cell r="B92">
            <v>11.492000000000001</v>
          </cell>
          <cell r="C92">
            <v>10.132000000000001</v>
          </cell>
          <cell r="D92">
            <v>244.44699999999995</v>
          </cell>
          <cell r="E92">
            <v>423.58800000000002</v>
          </cell>
          <cell r="F92">
            <v>11.286999999999999</v>
          </cell>
          <cell r="G92">
            <v>8.286999999999999</v>
          </cell>
          <cell r="H92">
            <v>13.629000000000001</v>
          </cell>
          <cell r="I92">
            <v>7.3000000000000007</v>
          </cell>
          <cell r="J92">
            <v>5.3559999999999999</v>
          </cell>
          <cell r="K92">
            <v>5.9130000000000003</v>
          </cell>
        </row>
        <row r="93">
          <cell r="A93">
            <v>1.74</v>
          </cell>
          <cell r="B93">
            <v>11.529333333333334</v>
          </cell>
          <cell r="C93">
            <v>10.169333333333334</v>
          </cell>
          <cell r="D93">
            <v>244.95933333333329</v>
          </cell>
          <cell r="E93">
            <v>424.55733333333336</v>
          </cell>
          <cell r="F93">
            <v>11.339333333333332</v>
          </cell>
          <cell r="G93">
            <v>8.3393333333333324</v>
          </cell>
          <cell r="H93">
            <v>13.628666666666668</v>
          </cell>
          <cell r="I93">
            <v>7.32</v>
          </cell>
          <cell r="J93">
            <v>5.3746666666666663</v>
          </cell>
          <cell r="K93">
            <v>5.9373333333333331</v>
          </cell>
        </row>
        <row r="94">
          <cell r="A94">
            <v>1.75</v>
          </cell>
          <cell r="B94">
            <v>11.566666666666668</v>
          </cell>
          <cell r="C94">
            <v>10.206666666666669</v>
          </cell>
          <cell r="D94">
            <v>245.47166666666664</v>
          </cell>
          <cell r="E94">
            <v>425.5266666666667</v>
          </cell>
          <cell r="F94">
            <v>11.391666666666666</v>
          </cell>
          <cell r="G94">
            <v>8.3916666666666657</v>
          </cell>
          <cell r="H94">
            <v>13.628333333333334</v>
          </cell>
          <cell r="I94">
            <v>7.34</v>
          </cell>
          <cell r="J94">
            <v>5.3933333333333326</v>
          </cell>
          <cell r="K94">
            <v>5.9616666666666669</v>
          </cell>
        </row>
        <row r="95">
          <cell r="A95">
            <v>1.76</v>
          </cell>
          <cell r="B95">
            <v>11.604000000000003</v>
          </cell>
          <cell r="C95">
            <v>10.244000000000003</v>
          </cell>
          <cell r="D95">
            <v>245.98399999999998</v>
          </cell>
          <cell r="E95">
            <v>426.49600000000004</v>
          </cell>
          <cell r="F95">
            <v>11.443999999999999</v>
          </cell>
          <cell r="G95">
            <v>8.4439999999999991</v>
          </cell>
          <cell r="H95">
            <v>13.628</v>
          </cell>
          <cell r="I95">
            <v>7.36</v>
          </cell>
          <cell r="J95">
            <v>5.411999999999999</v>
          </cell>
          <cell r="K95">
            <v>5.9859999999999998</v>
          </cell>
        </row>
        <row r="96">
          <cell r="A96">
            <v>1.77</v>
          </cell>
          <cell r="B96">
            <v>11.641333333333336</v>
          </cell>
          <cell r="C96">
            <v>10.281333333333336</v>
          </cell>
          <cell r="D96">
            <v>246.4963333333333</v>
          </cell>
          <cell r="E96">
            <v>427.46533333333338</v>
          </cell>
          <cell r="F96">
            <v>11.496333333333332</v>
          </cell>
          <cell r="G96">
            <v>8.4963333333333324</v>
          </cell>
          <cell r="H96">
            <v>13.627666666666666</v>
          </cell>
          <cell r="I96">
            <v>7.3800000000000008</v>
          </cell>
          <cell r="J96">
            <v>5.4306666666666663</v>
          </cell>
          <cell r="K96">
            <v>6.0103333333333335</v>
          </cell>
        </row>
        <row r="97">
          <cell r="A97">
            <v>1.78</v>
          </cell>
          <cell r="B97">
            <v>11.678666666666668</v>
          </cell>
          <cell r="C97">
            <v>10.318666666666669</v>
          </cell>
          <cell r="D97">
            <v>247.00866666666661</v>
          </cell>
          <cell r="E97">
            <v>428.43466666666671</v>
          </cell>
          <cell r="F97">
            <v>11.548666666666666</v>
          </cell>
          <cell r="G97">
            <v>8.5486666666666657</v>
          </cell>
          <cell r="H97">
            <v>13.627333333333334</v>
          </cell>
          <cell r="I97">
            <v>7.4</v>
          </cell>
          <cell r="J97">
            <v>5.4493333333333336</v>
          </cell>
          <cell r="K97">
            <v>6.0346666666666664</v>
          </cell>
        </row>
        <row r="98">
          <cell r="A98">
            <v>1.79</v>
          </cell>
          <cell r="B98">
            <v>11.716000000000001</v>
          </cell>
          <cell r="C98">
            <v>10.356000000000002</v>
          </cell>
          <cell r="D98">
            <v>247.52099999999996</v>
          </cell>
          <cell r="E98">
            <v>429.404</v>
          </cell>
          <cell r="F98">
            <v>11.600999999999999</v>
          </cell>
          <cell r="G98">
            <v>8.6009999999999991</v>
          </cell>
          <cell r="H98">
            <v>13.627000000000001</v>
          </cell>
          <cell r="I98">
            <v>7.42</v>
          </cell>
          <cell r="J98">
            <v>5.468</v>
          </cell>
          <cell r="K98">
            <v>6.0590000000000002</v>
          </cell>
        </row>
        <row r="99">
          <cell r="A99">
            <v>1.8</v>
          </cell>
          <cell r="B99">
            <v>11.753333333333334</v>
          </cell>
          <cell r="C99">
            <v>10.393333333333334</v>
          </cell>
          <cell r="D99">
            <v>248.0333333333333</v>
          </cell>
          <cell r="E99">
            <v>430.37333333333333</v>
          </cell>
          <cell r="F99">
            <v>11.653333333333332</v>
          </cell>
          <cell r="G99">
            <v>8.6533333333333324</v>
          </cell>
          <cell r="H99">
            <v>13.626666666666667</v>
          </cell>
          <cell r="I99">
            <v>7.44</v>
          </cell>
          <cell r="J99">
            <v>5.4866666666666664</v>
          </cell>
          <cell r="K99">
            <v>6.0833333333333339</v>
          </cell>
        </row>
        <row r="100">
          <cell r="A100">
            <v>1.81</v>
          </cell>
          <cell r="B100">
            <v>11.790666666666668</v>
          </cell>
          <cell r="C100">
            <v>10.430666666666669</v>
          </cell>
          <cell r="D100">
            <v>248.54566666666665</v>
          </cell>
          <cell r="E100">
            <v>431.34266666666667</v>
          </cell>
          <cell r="F100">
            <v>11.705666666666666</v>
          </cell>
          <cell r="G100">
            <v>8.7056666666666658</v>
          </cell>
          <cell r="H100">
            <v>13.626333333333333</v>
          </cell>
          <cell r="I100">
            <v>7.4600000000000009</v>
          </cell>
          <cell r="J100">
            <v>5.5053333333333327</v>
          </cell>
          <cell r="K100">
            <v>6.1076666666666668</v>
          </cell>
        </row>
        <row r="101">
          <cell r="A101">
            <v>1.82</v>
          </cell>
          <cell r="B101">
            <v>11.828000000000003</v>
          </cell>
          <cell r="C101">
            <v>10.468000000000004</v>
          </cell>
          <cell r="D101">
            <v>249.05799999999996</v>
          </cell>
          <cell r="E101">
            <v>432.31200000000001</v>
          </cell>
          <cell r="F101">
            <v>11.757999999999999</v>
          </cell>
          <cell r="G101">
            <v>8.7579999999999991</v>
          </cell>
          <cell r="H101">
            <v>13.625999999999999</v>
          </cell>
          <cell r="I101">
            <v>7.48</v>
          </cell>
          <cell r="J101">
            <v>5.5239999999999991</v>
          </cell>
          <cell r="K101">
            <v>6.1320000000000006</v>
          </cell>
        </row>
        <row r="102">
          <cell r="A102">
            <v>1.83</v>
          </cell>
          <cell r="B102">
            <v>11.865333333333336</v>
          </cell>
          <cell r="C102">
            <v>10.505333333333336</v>
          </cell>
          <cell r="D102">
            <v>249.57033333333328</v>
          </cell>
          <cell r="E102">
            <v>433.28133333333335</v>
          </cell>
          <cell r="F102">
            <v>11.810333333333332</v>
          </cell>
          <cell r="G102">
            <v>8.8103333333333325</v>
          </cell>
          <cell r="H102">
            <v>13.625666666666667</v>
          </cell>
          <cell r="I102">
            <v>7.5</v>
          </cell>
          <cell r="J102">
            <v>5.5426666666666664</v>
          </cell>
          <cell r="K102">
            <v>6.1563333333333334</v>
          </cell>
        </row>
        <row r="103">
          <cell r="A103">
            <v>1.84</v>
          </cell>
          <cell r="B103">
            <v>11.902666666666669</v>
          </cell>
          <cell r="C103">
            <v>10.542666666666669</v>
          </cell>
          <cell r="D103">
            <v>250.08266666666663</v>
          </cell>
          <cell r="E103">
            <v>434.25066666666669</v>
          </cell>
          <cell r="F103">
            <v>11.862666666666666</v>
          </cell>
          <cell r="G103">
            <v>8.8626666666666658</v>
          </cell>
          <cell r="H103">
            <v>13.625333333333334</v>
          </cell>
          <cell r="I103">
            <v>7.52</v>
          </cell>
          <cell r="J103">
            <v>5.5613333333333337</v>
          </cell>
          <cell r="K103">
            <v>6.1806666666666672</v>
          </cell>
        </row>
        <row r="104">
          <cell r="A104">
            <v>1.85</v>
          </cell>
          <cell r="B104">
            <v>11.940000000000001</v>
          </cell>
          <cell r="C104">
            <v>10.580000000000002</v>
          </cell>
          <cell r="D104">
            <v>250.59499999999997</v>
          </cell>
          <cell r="E104">
            <v>435.22</v>
          </cell>
          <cell r="F104">
            <v>11.914999999999999</v>
          </cell>
          <cell r="G104">
            <v>8.9149999999999991</v>
          </cell>
          <cell r="H104">
            <v>13.625</v>
          </cell>
          <cell r="I104">
            <v>7.54</v>
          </cell>
          <cell r="J104">
            <v>5.58</v>
          </cell>
          <cell r="K104">
            <v>6.2050000000000001</v>
          </cell>
        </row>
        <row r="105">
          <cell r="A105">
            <v>1.86</v>
          </cell>
          <cell r="B105">
            <v>11.977333333333334</v>
          </cell>
          <cell r="C105">
            <v>10.617333333333335</v>
          </cell>
          <cell r="D105">
            <v>251.10733333333332</v>
          </cell>
          <cell r="E105">
            <v>436.18933333333337</v>
          </cell>
          <cell r="F105">
            <v>11.967333333333332</v>
          </cell>
          <cell r="G105">
            <v>8.9673333333333325</v>
          </cell>
          <cell r="H105">
            <v>13.624666666666666</v>
          </cell>
          <cell r="I105">
            <v>7.5600000000000005</v>
          </cell>
          <cell r="J105">
            <v>5.5986666666666665</v>
          </cell>
          <cell r="K105">
            <v>6.2293333333333338</v>
          </cell>
        </row>
        <row r="106">
          <cell r="A106">
            <v>1.87</v>
          </cell>
          <cell r="B106">
            <v>12.014666666666669</v>
          </cell>
          <cell r="C106">
            <v>10.654666666666669</v>
          </cell>
          <cell r="D106">
            <v>251.61966666666663</v>
          </cell>
          <cell r="E106">
            <v>437.1586666666667</v>
          </cell>
          <cell r="F106">
            <v>12.019666666666666</v>
          </cell>
          <cell r="G106">
            <v>9.0196666666666658</v>
          </cell>
          <cell r="H106">
            <v>13.624333333333333</v>
          </cell>
          <cell r="I106">
            <v>7.58</v>
          </cell>
          <cell r="J106">
            <v>5.6173333333333328</v>
          </cell>
          <cell r="K106">
            <v>6.2536666666666667</v>
          </cell>
        </row>
        <row r="107">
          <cell r="A107">
            <v>1.88</v>
          </cell>
          <cell r="B107">
            <v>12.052</v>
          </cell>
          <cell r="C107">
            <v>10.692</v>
          </cell>
          <cell r="D107">
            <v>252.13199999999995</v>
          </cell>
          <cell r="E107">
            <v>438.12800000000004</v>
          </cell>
          <cell r="F107">
            <v>12.071999999999997</v>
          </cell>
          <cell r="G107">
            <v>9.0719999999999974</v>
          </cell>
          <cell r="H107">
            <v>13.624000000000001</v>
          </cell>
          <cell r="I107">
            <v>7.6</v>
          </cell>
          <cell r="J107">
            <v>5.6359999999999992</v>
          </cell>
          <cell r="K107">
            <v>6.2779999999999996</v>
          </cell>
        </row>
        <row r="108">
          <cell r="A108">
            <v>1.89</v>
          </cell>
          <cell r="B108">
            <v>12.089333333333334</v>
          </cell>
          <cell r="C108">
            <v>10.729333333333335</v>
          </cell>
          <cell r="D108">
            <v>252.64433333333329</v>
          </cell>
          <cell r="E108">
            <v>439.09733333333338</v>
          </cell>
          <cell r="F108">
            <v>12.124333333333331</v>
          </cell>
          <cell r="G108">
            <v>9.1243333333333307</v>
          </cell>
          <cell r="H108">
            <v>13.623666666666667</v>
          </cell>
          <cell r="I108">
            <v>7.6199999999999992</v>
          </cell>
          <cell r="J108">
            <v>5.6546666666666656</v>
          </cell>
          <cell r="K108">
            <v>6.3023333333333333</v>
          </cell>
        </row>
        <row r="109">
          <cell r="A109">
            <v>1.9</v>
          </cell>
          <cell r="B109">
            <v>12.126666666666669</v>
          </cell>
          <cell r="C109">
            <v>10.766666666666669</v>
          </cell>
          <cell r="D109">
            <v>253.15666666666661</v>
          </cell>
          <cell r="E109">
            <v>440.06666666666672</v>
          </cell>
          <cell r="F109">
            <v>12.176666666666664</v>
          </cell>
          <cell r="G109">
            <v>9.1766666666666641</v>
          </cell>
          <cell r="H109">
            <v>13.623333333333333</v>
          </cell>
          <cell r="I109">
            <v>7.64</v>
          </cell>
          <cell r="J109">
            <v>5.6733333333333329</v>
          </cell>
          <cell r="K109">
            <v>6.3266666666666662</v>
          </cell>
        </row>
        <row r="110">
          <cell r="A110">
            <v>1.91</v>
          </cell>
          <cell r="B110">
            <v>12.164000000000001</v>
          </cell>
          <cell r="C110">
            <v>10.804000000000002</v>
          </cell>
          <cell r="D110">
            <v>253.66899999999995</v>
          </cell>
          <cell r="E110">
            <v>441.03600000000006</v>
          </cell>
          <cell r="F110">
            <v>12.228999999999997</v>
          </cell>
          <cell r="G110">
            <v>9.2289999999999974</v>
          </cell>
          <cell r="H110">
            <v>13.622999999999999</v>
          </cell>
          <cell r="I110">
            <v>7.66</v>
          </cell>
          <cell r="J110">
            <v>5.6920000000000002</v>
          </cell>
          <cell r="K110">
            <v>6.351</v>
          </cell>
        </row>
        <row r="111">
          <cell r="A111">
            <v>1.92</v>
          </cell>
          <cell r="B111">
            <v>12.201333333333334</v>
          </cell>
          <cell r="C111">
            <v>10.841333333333335</v>
          </cell>
          <cell r="D111">
            <v>254.18133333333327</v>
          </cell>
          <cell r="E111">
            <v>442.00533333333334</v>
          </cell>
          <cell r="F111">
            <v>12.281333333333331</v>
          </cell>
          <cell r="G111">
            <v>9.2813333333333308</v>
          </cell>
          <cell r="H111">
            <v>13.622666666666666</v>
          </cell>
          <cell r="I111">
            <v>7.68</v>
          </cell>
          <cell r="J111">
            <v>5.7106666666666666</v>
          </cell>
          <cell r="K111">
            <v>6.3753333333333337</v>
          </cell>
        </row>
        <row r="112">
          <cell r="A112">
            <v>1.93</v>
          </cell>
          <cell r="B112">
            <v>12.238666666666667</v>
          </cell>
          <cell r="C112">
            <v>10.878666666666668</v>
          </cell>
          <cell r="D112">
            <v>254.69366666666662</v>
          </cell>
          <cell r="E112">
            <v>442.97466666666668</v>
          </cell>
          <cell r="F112">
            <v>12.333666666666664</v>
          </cell>
          <cell r="G112">
            <v>9.3336666666666641</v>
          </cell>
          <cell r="H112">
            <v>13.622333333333334</v>
          </cell>
          <cell r="I112">
            <v>7.6999999999999993</v>
          </cell>
          <cell r="J112">
            <v>5.7293333333333329</v>
          </cell>
          <cell r="K112">
            <v>6.3996666666666666</v>
          </cell>
        </row>
        <row r="113">
          <cell r="A113">
            <v>1.94</v>
          </cell>
          <cell r="B113">
            <v>12.276</v>
          </cell>
          <cell r="C113">
            <v>10.916</v>
          </cell>
          <cell r="D113">
            <v>255.20599999999996</v>
          </cell>
          <cell r="E113">
            <v>443.94400000000002</v>
          </cell>
          <cell r="F113">
            <v>12.385999999999997</v>
          </cell>
          <cell r="G113">
            <v>9.3859999999999975</v>
          </cell>
          <cell r="H113">
            <v>13.622</v>
          </cell>
          <cell r="I113">
            <v>7.72</v>
          </cell>
          <cell r="J113">
            <v>5.7479999999999993</v>
          </cell>
          <cell r="K113">
            <v>6.4240000000000004</v>
          </cell>
        </row>
        <row r="114">
          <cell r="A114">
            <v>1.95</v>
          </cell>
          <cell r="B114">
            <v>12.313333333333334</v>
          </cell>
          <cell r="C114">
            <v>10.953333333333335</v>
          </cell>
          <cell r="D114">
            <v>255.71833333333328</v>
          </cell>
          <cell r="E114">
            <v>444.91333333333336</v>
          </cell>
          <cell r="F114">
            <v>12.438333333333331</v>
          </cell>
          <cell r="G114">
            <v>9.4383333333333308</v>
          </cell>
          <cell r="H114">
            <v>13.621666666666666</v>
          </cell>
          <cell r="I114">
            <v>7.74</v>
          </cell>
          <cell r="J114">
            <v>5.7666666666666666</v>
          </cell>
          <cell r="K114">
            <v>6.4483333333333333</v>
          </cell>
        </row>
        <row r="115">
          <cell r="A115">
            <v>1.96</v>
          </cell>
          <cell r="B115">
            <v>12.350666666666667</v>
          </cell>
          <cell r="C115">
            <v>10.990666666666668</v>
          </cell>
          <cell r="D115">
            <v>256.23066666666659</v>
          </cell>
          <cell r="E115">
            <v>445.88266666666669</v>
          </cell>
          <cell r="F115">
            <v>12.490666666666664</v>
          </cell>
          <cell r="G115">
            <v>9.4906666666666641</v>
          </cell>
          <cell r="H115">
            <v>13.621333333333332</v>
          </cell>
          <cell r="I115">
            <v>7.76</v>
          </cell>
          <cell r="J115">
            <v>5.785333333333333</v>
          </cell>
          <cell r="K115">
            <v>6.472666666666667</v>
          </cell>
        </row>
        <row r="116">
          <cell r="A116">
            <v>1.97</v>
          </cell>
          <cell r="B116">
            <v>12.388000000000002</v>
          </cell>
          <cell r="C116">
            <v>11.028000000000002</v>
          </cell>
          <cell r="D116">
            <v>256.74299999999994</v>
          </cell>
          <cell r="E116">
            <v>446.85200000000003</v>
          </cell>
          <cell r="F116">
            <v>12.542999999999997</v>
          </cell>
          <cell r="G116">
            <v>9.5429999999999975</v>
          </cell>
          <cell r="H116">
            <v>13.620999999999999</v>
          </cell>
          <cell r="I116">
            <v>7.7799999999999994</v>
          </cell>
          <cell r="J116">
            <v>5.8040000000000003</v>
          </cell>
          <cell r="K116">
            <v>6.4969999999999999</v>
          </cell>
        </row>
        <row r="117">
          <cell r="A117">
            <v>1.98</v>
          </cell>
          <cell r="B117">
            <v>12.425333333333334</v>
          </cell>
          <cell r="C117">
            <v>11.065333333333335</v>
          </cell>
          <cell r="D117">
            <v>257.25533333333328</v>
          </cell>
          <cell r="E117">
            <v>447.82133333333331</v>
          </cell>
          <cell r="F117">
            <v>12.595333333333331</v>
          </cell>
          <cell r="G117">
            <v>9.5953333333333308</v>
          </cell>
          <cell r="H117">
            <v>13.620666666666667</v>
          </cell>
          <cell r="I117">
            <v>7.8</v>
          </cell>
          <cell r="J117">
            <v>5.8226666666666667</v>
          </cell>
          <cell r="K117">
            <v>6.5213333333333336</v>
          </cell>
        </row>
        <row r="118">
          <cell r="A118">
            <v>1.99</v>
          </cell>
          <cell r="B118">
            <v>12.462666666666667</v>
          </cell>
          <cell r="C118">
            <v>11.102666666666668</v>
          </cell>
          <cell r="D118">
            <v>257.76766666666663</v>
          </cell>
          <cell r="E118">
            <v>448.79066666666665</v>
          </cell>
          <cell r="F118">
            <v>12.647666666666664</v>
          </cell>
          <cell r="G118">
            <v>9.6476666666666642</v>
          </cell>
          <cell r="H118">
            <v>13.620333333333333</v>
          </cell>
          <cell r="I118">
            <v>7.82</v>
          </cell>
          <cell r="J118">
            <v>5.841333333333333</v>
          </cell>
          <cell r="K118">
            <v>6.5456666666666665</v>
          </cell>
        </row>
        <row r="119">
          <cell r="A119">
            <v>2</v>
          </cell>
          <cell r="B119">
            <v>12.5</v>
          </cell>
          <cell r="C119">
            <v>11.14</v>
          </cell>
          <cell r="D119">
            <v>258.27999999999997</v>
          </cell>
          <cell r="E119">
            <v>449.76</v>
          </cell>
          <cell r="F119">
            <v>12.699999999999998</v>
          </cell>
          <cell r="G119">
            <v>9.6999999999999975</v>
          </cell>
          <cell r="H119">
            <v>13.62</v>
          </cell>
          <cell r="I119">
            <v>7.84</v>
          </cell>
          <cell r="J119">
            <v>5.8599999999999994</v>
          </cell>
          <cell r="K119">
            <v>6.57</v>
          </cell>
        </row>
        <row r="120">
          <cell r="A120">
            <v>2.0099999999999998</v>
          </cell>
          <cell r="B120">
            <v>12.537333333333333</v>
          </cell>
          <cell r="C120">
            <v>11.177333333333333</v>
          </cell>
          <cell r="D120">
            <v>258.74066666666658</v>
          </cell>
          <cell r="E120">
            <v>450.65800000000002</v>
          </cell>
          <cell r="F120">
            <v>12.748333333333333</v>
          </cell>
          <cell r="G120">
            <v>9.7483333333333331</v>
          </cell>
          <cell r="H120">
            <v>13.620666666666665</v>
          </cell>
          <cell r="I120">
            <v>7.859</v>
          </cell>
          <cell r="J120">
            <v>5.878333333333333</v>
          </cell>
          <cell r="K120">
            <v>6.5936666666666675</v>
          </cell>
        </row>
        <row r="121">
          <cell r="A121">
            <v>2.02</v>
          </cell>
          <cell r="B121">
            <v>12.574666666666666</v>
          </cell>
          <cell r="C121">
            <v>11.214666666666666</v>
          </cell>
          <cell r="D121">
            <v>259.20133333333331</v>
          </cell>
          <cell r="E121">
            <v>451.55600000000004</v>
          </cell>
          <cell r="F121">
            <v>12.796666666666669</v>
          </cell>
          <cell r="G121">
            <v>9.7966666666666686</v>
          </cell>
          <cell r="H121">
            <v>13.621333333333332</v>
          </cell>
          <cell r="I121">
            <v>7.8780000000000001</v>
          </cell>
          <cell r="J121">
            <v>5.8966666666666665</v>
          </cell>
          <cell r="K121">
            <v>6.6173333333333346</v>
          </cell>
        </row>
        <row r="122">
          <cell r="A122">
            <v>2.0299999999999998</v>
          </cell>
          <cell r="B122">
            <v>12.611999999999998</v>
          </cell>
          <cell r="C122">
            <v>11.251999999999999</v>
          </cell>
          <cell r="D122">
            <v>259.66199999999992</v>
          </cell>
          <cell r="E122">
            <v>452.45400000000001</v>
          </cell>
          <cell r="F122">
            <v>12.845000000000001</v>
          </cell>
          <cell r="G122">
            <v>9.8450000000000006</v>
          </cell>
          <cell r="H122">
            <v>13.621999999999998</v>
          </cell>
          <cell r="I122">
            <v>7.8970000000000002</v>
          </cell>
          <cell r="J122">
            <v>5.9149999999999991</v>
          </cell>
          <cell r="K122">
            <v>6.6410000000000009</v>
          </cell>
        </row>
        <row r="123">
          <cell r="A123">
            <v>2.04</v>
          </cell>
          <cell r="B123">
            <v>12.649333333333333</v>
          </cell>
          <cell r="C123">
            <v>11.289333333333333</v>
          </cell>
          <cell r="D123">
            <v>260.12266666666665</v>
          </cell>
          <cell r="E123">
            <v>453.35200000000003</v>
          </cell>
          <cell r="F123">
            <v>12.893333333333334</v>
          </cell>
          <cell r="G123">
            <v>9.8933333333333344</v>
          </cell>
          <cell r="H123">
            <v>13.622666666666666</v>
          </cell>
          <cell r="I123">
            <v>7.9160000000000004</v>
          </cell>
          <cell r="J123">
            <v>5.9333333333333336</v>
          </cell>
          <cell r="K123">
            <v>6.6646666666666681</v>
          </cell>
        </row>
        <row r="124">
          <cell r="A124">
            <v>2.0499999999999998</v>
          </cell>
          <cell r="B124">
            <v>12.686666666666664</v>
          </cell>
          <cell r="C124">
            <v>11.326666666666664</v>
          </cell>
          <cell r="D124">
            <v>260.58333333333326</v>
          </cell>
          <cell r="E124">
            <v>454.25</v>
          </cell>
          <cell r="F124">
            <v>12.941666666666666</v>
          </cell>
          <cell r="G124">
            <v>9.9416666666666664</v>
          </cell>
          <cell r="H124">
            <v>13.623333333333331</v>
          </cell>
          <cell r="I124">
            <v>7.9350000000000005</v>
          </cell>
          <cell r="J124">
            <v>5.9516666666666662</v>
          </cell>
          <cell r="K124">
            <v>6.6883333333333344</v>
          </cell>
        </row>
        <row r="125">
          <cell r="A125">
            <v>2.06</v>
          </cell>
          <cell r="B125">
            <v>12.724</v>
          </cell>
          <cell r="C125">
            <v>11.364000000000001</v>
          </cell>
          <cell r="D125">
            <v>261.04399999999998</v>
          </cell>
          <cell r="E125">
            <v>455.14800000000002</v>
          </cell>
          <cell r="F125">
            <v>12.990000000000002</v>
          </cell>
          <cell r="G125">
            <v>9.990000000000002</v>
          </cell>
          <cell r="H125">
            <v>13.623999999999999</v>
          </cell>
          <cell r="I125">
            <v>7.9540000000000006</v>
          </cell>
          <cell r="J125">
            <v>5.9700000000000006</v>
          </cell>
          <cell r="K125">
            <v>6.7120000000000015</v>
          </cell>
        </row>
        <row r="126">
          <cell r="A126">
            <v>2.0699999999999998</v>
          </cell>
          <cell r="B126">
            <v>12.761333333333333</v>
          </cell>
          <cell r="C126">
            <v>11.401333333333334</v>
          </cell>
          <cell r="D126">
            <v>261.50466666666665</v>
          </cell>
          <cell r="E126">
            <v>456.04600000000005</v>
          </cell>
          <cell r="F126">
            <v>13.038333333333334</v>
          </cell>
          <cell r="G126">
            <v>10.038333333333334</v>
          </cell>
          <cell r="H126">
            <v>13.624666666666664</v>
          </cell>
          <cell r="I126">
            <v>7.9730000000000008</v>
          </cell>
          <cell r="J126">
            <v>5.9883333333333333</v>
          </cell>
          <cell r="K126">
            <v>6.7356666666666678</v>
          </cell>
        </row>
        <row r="127">
          <cell r="A127">
            <v>2.08</v>
          </cell>
          <cell r="B127">
            <v>12.798666666666666</v>
          </cell>
          <cell r="C127">
            <v>11.438666666666666</v>
          </cell>
          <cell r="D127">
            <v>261.96533333333332</v>
          </cell>
          <cell r="E127">
            <v>456.94400000000002</v>
          </cell>
          <cell r="F127">
            <v>13.086666666666668</v>
          </cell>
          <cell r="G127">
            <v>10.086666666666668</v>
          </cell>
          <cell r="H127">
            <v>13.625333333333332</v>
          </cell>
          <cell r="I127">
            <v>7.9920000000000009</v>
          </cell>
          <cell r="J127">
            <v>6.0066666666666668</v>
          </cell>
          <cell r="K127">
            <v>6.759333333333335</v>
          </cell>
        </row>
        <row r="128">
          <cell r="A128">
            <v>2.09</v>
          </cell>
          <cell r="B128">
            <v>12.835999999999999</v>
          </cell>
          <cell r="C128">
            <v>11.475999999999999</v>
          </cell>
          <cell r="D128">
            <v>262.42599999999999</v>
          </cell>
          <cell r="E128">
            <v>457.84199999999998</v>
          </cell>
          <cell r="F128">
            <v>13.135000000000002</v>
          </cell>
          <cell r="G128">
            <v>10.135000000000002</v>
          </cell>
          <cell r="H128">
            <v>13.625999999999998</v>
          </cell>
          <cell r="I128">
            <v>8.0109999999999992</v>
          </cell>
          <cell r="J128">
            <v>6.0249999999999995</v>
          </cell>
          <cell r="K128">
            <v>6.7830000000000013</v>
          </cell>
        </row>
        <row r="129">
          <cell r="A129">
            <v>2.1</v>
          </cell>
          <cell r="B129">
            <v>12.873333333333333</v>
          </cell>
          <cell r="C129">
            <v>11.513333333333334</v>
          </cell>
          <cell r="D129">
            <v>262.88666666666666</v>
          </cell>
          <cell r="E129">
            <v>458.74</v>
          </cell>
          <cell r="F129">
            <v>13.183333333333335</v>
          </cell>
          <cell r="G129">
            <v>10.183333333333335</v>
          </cell>
          <cell r="H129">
            <v>13.626666666666665</v>
          </cell>
          <cell r="I129">
            <v>8.0300000000000011</v>
          </cell>
          <cell r="J129">
            <v>6.043333333333333</v>
          </cell>
          <cell r="K129">
            <v>6.8066666666666684</v>
          </cell>
        </row>
        <row r="130">
          <cell r="A130">
            <v>2.11</v>
          </cell>
          <cell r="B130">
            <v>12.910666666666664</v>
          </cell>
          <cell r="C130">
            <v>11.550666666666665</v>
          </cell>
          <cell r="D130">
            <v>263.34733333333332</v>
          </cell>
          <cell r="E130">
            <v>459.63800000000003</v>
          </cell>
          <cell r="F130">
            <v>13.231666666666667</v>
          </cell>
          <cell r="G130">
            <v>10.231666666666667</v>
          </cell>
          <cell r="H130">
            <v>13.627333333333333</v>
          </cell>
          <cell r="I130">
            <v>8.0489999999999995</v>
          </cell>
          <cell r="J130">
            <v>6.0616666666666665</v>
          </cell>
          <cell r="K130">
            <v>6.8303333333333347</v>
          </cell>
        </row>
        <row r="131">
          <cell r="A131">
            <v>2.12</v>
          </cell>
          <cell r="B131">
            <v>12.948</v>
          </cell>
          <cell r="C131">
            <v>11.588000000000001</v>
          </cell>
          <cell r="D131">
            <v>263.80799999999999</v>
          </cell>
          <cell r="E131">
            <v>460.53600000000006</v>
          </cell>
          <cell r="F131">
            <v>13.280000000000003</v>
          </cell>
          <cell r="G131">
            <v>10.280000000000003</v>
          </cell>
          <cell r="H131">
            <v>13.627999999999998</v>
          </cell>
          <cell r="I131">
            <v>8.0680000000000014</v>
          </cell>
          <cell r="J131">
            <v>6.08</v>
          </cell>
          <cell r="K131">
            <v>6.8540000000000019</v>
          </cell>
        </row>
        <row r="132">
          <cell r="A132">
            <v>2.13</v>
          </cell>
          <cell r="B132">
            <v>12.985333333333333</v>
          </cell>
          <cell r="C132">
            <v>11.625333333333334</v>
          </cell>
          <cell r="D132">
            <v>264.26866666666666</v>
          </cell>
          <cell r="E132">
            <v>461.43400000000003</v>
          </cell>
          <cell r="F132">
            <v>13.328333333333335</v>
          </cell>
          <cell r="G132">
            <v>10.328333333333335</v>
          </cell>
          <cell r="H132">
            <v>13.628666666666666</v>
          </cell>
          <cell r="I132">
            <v>8.0869999999999997</v>
          </cell>
          <cell r="J132">
            <v>6.0983333333333327</v>
          </cell>
          <cell r="K132">
            <v>6.8776666666666681</v>
          </cell>
        </row>
        <row r="133">
          <cell r="A133">
            <v>2.14</v>
          </cell>
          <cell r="B133">
            <v>13.022666666666666</v>
          </cell>
          <cell r="C133">
            <v>11.662666666666667</v>
          </cell>
          <cell r="D133">
            <v>264.72933333333333</v>
          </cell>
          <cell r="E133">
            <v>462.33199999999999</v>
          </cell>
          <cell r="F133">
            <v>13.376666666666669</v>
          </cell>
          <cell r="G133">
            <v>10.376666666666669</v>
          </cell>
          <cell r="H133">
            <v>13.629333333333332</v>
          </cell>
          <cell r="I133">
            <v>8.1060000000000016</v>
          </cell>
          <cell r="J133">
            <v>6.1166666666666671</v>
          </cell>
          <cell r="K133">
            <v>6.9013333333333353</v>
          </cell>
        </row>
        <row r="134">
          <cell r="A134">
            <v>2.15</v>
          </cell>
          <cell r="B134">
            <v>13.059999999999999</v>
          </cell>
          <cell r="C134">
            <v>11.7</v>
          </cell>
          <cell r="D134">
            <v>265.19</v>
          </cell>
          <cell r="E134">
            <v>463.23</v>
          </cell>
          <cell r="F134">
            <v>13.425000000000001</v>
          </cell>
          <cell r="G134">
            <v>10.425000000000001</v>
          </cell>
          <cell r="H134">
            <v>13.629999999999999</v>
          </cell>
          <cell r="I134">
            <v>8.125</v>
          </cell>
          <cell r="J134">
            <v>6.1349999999999998</v>
          </cell>
          <cell r="K134">
            <v>6.9250000000000007</v>
          </cell>
        </row>
        <row r="135">
          <cell r="A135">
            <v>2.16</v>
          </cell>
          <cell r="B135">
            <v>13.097333333333333</v>
          </cell>
          <cell r="C135">
            <v>11.737333333333334</v>
          </cell>
          <cell r="D135">
            <v>265.65066666666667</v>
          </cell>
          <cell r="E135">
            <v>464.12800000000004</v>
          </cell>
          <cell r="F135">
            <v>13.473333333333336</v>
          </cell>
          <cell r="G135">
            <v>10.473333333333336</v>
          </cell>
          <cell r="H135">
            <v>13.630666666666665</v>
          </cell>
          <cell r="I135">
            <v>8.1440000000000019</v>
          </cell>
          <cell r="J135">
            <v>6.1533333333333342</v>
          </cell>
          <cell r="K135">
            <v>6.9486666666666679</v>
          </cell>
        </row>
        <row r="136">
          <cell r="A136">
            <v>2.17</v>
          </cell>
          <cell r="B136">
            <v>13.134666666666666</v>
          </cell>
          <cell r="C136">
            <v>11.774666666666667</v>
          </cell>
          <cell r="D136">
            <v>266.11133333333333</v>
          </cell>
          <cell r="E136">
            <v>465.02600000000001</v>
          </cell>
          <cell r="F136">
            <v>13.521666666666668</v>
          </cell>
          <cell r="G136">
            <v>10.521666666666668</v>
          </cell>
          <cell r="H136">
            <v>13.631333333333332</v>
          </cell>
          <cell r="I136">
            <v>8.1630000000000003</v>
          </cell>
          <cell r="J136">
            <v>6.1716666666666669</v>
          </cell>
          <cell r="K136">
            <v>6.9723333333333342</v>
          </cell>
        </row>
        <row r="137">
          <cell r="A137">
            <v>2.1800000000000002</v>
          </cell>
          <cell r="B137">
            <v>13.171999999999999</v>
          </cell>
          <cell r="C137">
            <v>11.811999999999999</v>
          </cell>
          <cell r="D137">
            <v>266.572</v>
          </cell>
          <cell r="E137">
            <v>465.92400000000004</v>
          </cell>
          <cell r="F137">
            <v>13.570000000000002</v>
          </cell>
          <cell r="G137">
            <v>10.570000000000002</v>
          </cell>
          <cell r="H137">
            <v>13.632</v>
          </cell>
          <cell r="I137">
            <v>8.1820000000000022</v>
          </cell>
          <cell r="J137">
            <v>6.19</v>
          </cell>
          <cell r="K137">
            <v>6.9960000000000013</v>
          </cell>
        </row>
        <row r="138">
          <cell r="A138">
            <v>2.19</v>
          </cell>
          <cell r="B138">
            <v>13.209333333333332</v>
          </cell>
          <cell r="C138">
            <v>11.849333333333332</v>
          </cell>
          <cell r="D138">
            <v>267.03266666666667</v>
          </cell>
          <cell r="E138">
            <v>466.822</v>
          </cell>
          <cell r="F138">
            <v>13.618333333333336</v>
          </cell>
          <cell r="G138">
            <v>10.618333333333336</v>
          </cell>
          <cell r="H138">
            <v>13.632666666666665</v>
          </cell>
          <cell r="I138">
            <v>8.2010000000000005</v>
          </cell>
          <cell r="J138">
            <v>6.2083333333333339</v>
          </cell>
          <cell r="K138">
            <v>7.0196666666666676</v>
          </cell>
        </row>
        <row r="139">
          <cell r="A139">
            <v>2.2000000000000002</v>
          </cell>
          <cell r="B139">
            <v>13.246666666666666</v>
          </cell>
          <cell r="C139">
            <v>11.886666666666667</v>
          </cell>
          <cell r="D139">
            <v>267.49333333333334</v>
          </cell>
          <cell r="E139">
            <v>467.72</v>
          </cell>
          <cell r="F139">
            <v>13.66666666666667</v>
          </cell>
          <cell r="G139">
            <v>10.66666666666667</v>
          </cell>
          <cell r="H139">
            <v>13.633333333333333</v>
          </cell>
          <cell r="I139">
            <v>8.2200000000000006</v>
          </cell>
          <cell r="J139">
            <v>6.2266666666666666</v>
          </cell>
          <cell r="K139">
            <v>7.0433333333333348</v>
          </cell>
        </row>
        <row r="140">
          <cell r="A140">
            <v>2.21</v>
          </cell>
          <cell r="B140">
            <v>13.283999999999999</v>
          </cell>
          <cell r="C140">
            <v>11.923999999999999</v>
          </cell>
          <cell r="D140">
            <v>267.95400000000001</v>
          </cell>
          <cell r="E140">
            <v>468.61800000000005</v>
          </cell>
          <cell r="F140">
            <v>13.715000000000002</v>
          </cell>
          <cell r="G140">
            <v>10.715000000000002</v>
          </cell>
          <cell r="H140">
            <v>13.633999999999999</v>
          </cell>
          <cell r="I140">
            <v>8.2390000000000008</v>
          </cell>
          <cell r="J140">
            <v>6.2449999999999992</v>
          </cell>
          <cell r="K140">
            <v>7.0670000000000011</v>
          </cell>
        </row>
        <row r="141">
          <cell r="A141">
            <v>2.2200000000000002</v>
          </cell>
          <cell r="B141">
            <v>13.321333333333333</v>
          </cell>
          <cell r="C141">
            <v>11.961333333333334</v>
          </cell>
          <cell r="D141">
            <v>268.41466666666668</v>
          </cell>
          <cell r="E141">
            <v>469.51600000000008</v>
          </cell>
          <cell r="F141">
            <v>13.763333333333337</v>
          </cell>
          <cell r="G141">
            <v>10.763333333333337</v>
          </cell>
          <cell r="H141">
            <v>13.634666666666666</v>
          </cell>
          <cell r="I141">
            <v>8.2580000000000009</v>
          </cell>
          <cell r="J141">
            <v>6.2633333333333336</v>
          </cell>
          <cell r="K141">
            <v>7.0906666666666682</v>
          </cell>
        </row>
        <row r="142">
          <cell r="A142">
            <v>2.23</v>
          </cell>
          <cell r="B142">
            <v>13.358666666666666</v>
          </cell>
          <cell r="C142">
            <v>11.998666666666667</v>
          </cell>
          <cell r="D142">
            <v>268.87533333333334</v>
          </cell>
          <cell r="E142">
            <v>470.41399999999999</v>
          </cell>
          <cell r="F142">
            <v>13.811666666666669</v>
          </cell>
          <cell r="G142">
            <v>10.811666666666669</v>
          </cell>
          <cell r="H142">
            <v>13.635333333333332</v>
          </cell>
          <cell r="I142">
            <v>8.277000000000001</v>
          </cell>
          <cell r="J142">
            <v>6.2816666666666663</v>
          </cell>
          <cell r="K142">
            <v>7.1143333333333345</v>
          </cell>
        </row>
        <row r="143">
          <cell r="A143">
            <v>2.2400000000000002</v>
          </cell>
          <cell r="B143">
            <v>13.395999999999999</v>
          </cell>
          <cell r="C143">
            <v>12.036</v>
          </cell>
          <cell r="D143">
            <v>269.33600000000001</v>
          </cell>
          <cell r="E143">
            <v>471.31200000000001</v>
          </cell>
          <cell r="F143">
            <v>13.860000000000003</v>
          </cell>
          <cell r="G143">
            <v>10.860000000000003</v>
          </cell>
          <cell r="H143">
            <v>13.635999999999999</v>
          </cell>
          <cell r="I143">
            <v>8.2960000000000012</v>
          </cell>
          <cell r="J143">
            <v>6.3000000000000007</v>
          </cell>
          <cell r="K143">
            <v>7.1380000000000017</v>
          </cell>
        </row>
        <row r="144">
          <cell r="A144">
            <v>2.25</v>
          </cell>
          <cell r="B144">
            <v>13.433333333333332</v>
          </cell>
          <cell r="C144">
            <v>12.073333333333332</v>
          </cell>
          <cell r="D144">
            <v>269.79666666666668</v>
          </cell>
          <cell r="E144">
            <v>472.21000000000004</v>
          </cell>
          <cell r="F144">
            <v>13.908333333333337</v>
          </cell>
          <cell r="G144">
            <v>10.908333333333337</v>
          </cell>
          <cell r="H144">
            <v>13.636666666666667</v>
          </cell>
          <cell r="I144">
            <v>8.3150000000000013</v>
          </cell>
          <cell r="J144">
            <v>6.3183333333333334</v>
          </cell>
          <cell r="K144">
            <v>7.161666666666668</v>
          </cell>
        </row>
        <row r="145">
          <cell r="A145">
            <v>2.2599999999999998</v>
          </cell>
          <cell r="B145">
            <v>13.470666666666665</v>
          </cell>
          <cell r="C145">
            <v>12.110666666666665</v>
          </cell>
          <cell r="D145">
            <v>270.25733333333335</v>
          </cell>
          <cell r="E145">
            <v>473.108</v>
          </cell>
          <cell r="F145">
            <v>13.956666666666669</v>
          </cell>
          <cell r="G145">
            <v>10.956666666666669</v>
          </cell>
          <cell r="H145">
            <v>13.637333333333332</v>
          </cell>
          <cell r="I145">
            <v>8.3339999999999996</v>
          </cell>
          <cell r="J145">
            <v>6.336666666666666</v>
          </cell>
          <cell r="K145">
            <v>7.1853333333333342</v>
          </cell>
        </row>
        <row r="146">
          <cell r="A146">
            <v>2.27</v>
          </cell>
          <cell r="B146">
            <v>13.507999999999999</v>
          </cell>
          <cell r="C146">
            <v>12.148</v>
          </cell>
          <cell r="D146">
            <v>270.71800000000002</v>
          </cell>
          <cell r="E146">
            <v>474.00600000000003</v>
          </cell>
          <cell r="F146">
            <v>14.005000000000003</v>
          </cell>
          <cell r="G146">
            <v>11.005000000000003</v>
          </cell>
          <cell r="H146">
            <v>13.638</v>
          </cell>
          <cell r="I146">
            <v>8.3530000000000015</v>
          </cell>
          <cell r="J146">
            <v>6.3550000000000004</v>
          </cell>
          <cell r="K146">
            <v>7.2090000000000014</v>
          </cell>
        </row>
        <row r="147">
          <cell r="A147">
            <v>2.2799999999999998</v>
          </cell>
          <cell r="B147">
            <v>13.545333333333332</v>
          </cell>
          <cell r="C147">
            <v>12.185333333333332</v>
          </cell>
          <cell r="D147">
            <v>271.17866666666669</v>
          </cell>
          <cell r="E147">
            <v>474.904</v>
          </cell>
          <cell r="F147">
            <v>14.053333333333335</v>
          </cell>
          <cell r="G147">
            <v>11.053333333333335</v>
          </cell>
          <cell r="H147">
            <v>13.638666666666666</v>
          </cell>
          <cell r="I147">
            <v>8.3719999999999999</v>
          </cell>
          <cell r="J147">
            <v>6.3733333333333331</v>
          </cell>
          <cell r="K147">
            <v>7.2326666666666677</v>
          </cell>
        </row>
        <row r="148">
          <cell r="A148">
            <v>2.29</v>
          </cell>
          <cell r="B148">
            <v>13.582666666666665</v>
          </cell>
          <cell r="C148">
            <v>12.222666666666665</v>
          </cell>
          <cell r="D148">
            <v>271.63933333333335</v>
          </cell>
          <cell r="E148">
            <v>475.80200000000002</v>
          </cell>
          <cell r="F148">
            <v>14.10166666666667</v>
          </cell>
          <cell r="G148">
            <v>11.10166666666667</v>
          </cell>
          <cell r="H148">
            <v>13.639333333333333</v>
          </cell>
          <cell r="I148">
            <v>8.3910000000000018</v>
          </cell>
          <cell r="J148">
            <v>6.3916666666666675</v>
          </cell>
          <cell r="K148">
            <v>7.2563333333333349</v>
          </cell>
        </row>
        <row r="149">
          <cell r="A149">
            <v>2.2999999999999998</v>
          </cell>
          <cell r="B149">
            <v>13.619999999999997</v>
          </cell>
          <cell r="C149">
            <v>12.259999999999998</v>
          </cell>
          <cell r="D149">
            <v>272.10000000000002</v>
          </cell>
          <cell r="E149">
            <v>476.70000000000005</v>
          </cell>
          <cell r="F149">
            <v>14.150000000000002</v>
          </cell>
          <cell r="G149">
            <v>11.150000000000002</v>
          </cell>
          <cell r="H149">
            <v>13.639999999999999</v>
          </cell>
          <cell r="I149">
            <v>8.41</v>
          </cell>
          <cell r="J149">
            <v>6.41</v>
          </cell>
          <cell r="K149">
            <v>7.2800000000000011</v>
          </cell>
        </row>
        <row r="150">
          <cell r="A150">
            <v>2.31</v>
          </cell>
          <cell r="B150">
            <v>13.657333333333332</v>
          </cell>
          <cell r="C150">
            <v>12.297333333333333</v>
          </cell>
          <cell r="D150">
            <v>272.56066666666669</v>
          </cell>
          <cell r="E150">
            <v>477.59800000000007</v>
          </cell>
          <cell r="F150">
            <v>14.198333333333336</v>
          </cell>
          <cell r="G150">
            <v>11.198333333333336</v>
          </cell>
          <cell r="H150">
            <v>13.640666666666666</v>
          </cell>
          <cell r="I150">
            <v>8.429000000000002</v>
          </cell>
          <cell r="J150">
            <v>6.4283333333333328</v>
          </cell>
          <cell r="K150">
            <v>7.3036666666666683</v>
          </cell>
        </row>
        <row r="151">
          <cell r="A151">
            <v>2.3199999999999998</v>
          </cell>
          <cell r="B151">
            <v>13.694666666666665</v>
          </cell>
          <cell r="C151">
            <v>12.334666666666665</v>
          </cell>
          <cell r="D151">
            <v>273.02133333333336</v>
          </cell>
          <cell r="E151">
            <v>478.49599999999998</v>
          </cell>
          <cell r="F151">
            <v>14.24666666666667</v>
          </cell>
          <cell r="G151">
            <v>11.24666666666667</v>
          </cell>
          <cell r="H151">
            <v>13.641333333333332</v>
          </cell>
          <cell r="I151">
            <v>8.4480000000000004</v>
          </cell>
          <cell r="J151">
            <v>6.4466666666666672</v>
          </cell>
          <cell r="K151">
            <v>7.3273333333333346</v>
          </cell>
        </row>
        <row r="152">
          <cell r="A152">
            <v>2.33</v>
          </cell>
          <cell r="B152">
            <v>13.731999999999999</v>
          </cell>
          <cell r="C152">
            <v>12.372</v>
          </cell>
          <cell r="D152">
            <v>273.48200000000003</v>
          </cell>
          <cell r="E152">
            <v>479.39400000000001</v>
          </cell>
          <cell r="F152">
            <v>14.295000000000003</v>
          </cell>
          <cell r="G152">
            <v>11.295000000000003</v>
          </cell>
          <cell r="H152">
            <v>13.641999999999999</v>
          </cell>
          <cell r="I152">
            <v>8.4670000000000023</v>
          </cell>
          <cell r="J152">
            <v>6.4649999999999999</v>
          </cell>
          <cell r="K152">
            <v>7.3510000000000018</v>
          </cell>
        </row>
        <row r="153">
          <cell r="A153">
            <v>2.34</v>
          </cell>
          <cell r="B153">
            <v>13.769333333333332</v>
          </cell>
          <cell r="C153">
            <v>12.409333333333333</v>
          </cell>
          <cell r="D153">
            <v>273.9426666666667</v>
          </cell>
          <cell r="E153">
            <v>480.29200000000003</v>
          </cell>
          <cell r="F153">
            <v>14.343333333333335</v>
          </cell>
          <cell r="G153">
            <v>11.343333333333335</v>
          </cell>
          <cell r="H153">
            <v>13.642666666666667</v>
          </cell>
          <cell r="I153">
            <v>8.4860000000000007</v>
          </cell>
          <cell r="J153">
            <v>6.4833333333333325</v>
          </cell>
          <cell r="K153">
            <v>7.374666666666668</v>
          </cell>
        </row>
        <row r="154">
          <cell r="A154">
            <v>2.35</v>
          </cell>
          <cell r="B154">
            <v>13.806666666666665</v>
          </cell>
          <cell r="C154">
            <v>12.446666666666665</v>
          </cell>
          <cell r="D154">
            <v>274.40333333333336</v>
          </cell>
          <cell r="E154">
            <v>481.19000000000005</v>
          </cell>
          <cell r="F154">
            <v>14.391666666666671</v>
          </cell>
          <cell r="G154">
            <v>11.391666666666671</v>
          </cell>
          <cell r="H154">
            <v>13.643333333333333</v>
          </cell>
          <cell r="I154">
            <v>8.5050000000000008</v>
          </cell>
          <cell r="J154">
            <v>6.5016666666666669</v>
          </cell>
          <cell r="K154">
            <v>7.3983333333333352</v>
          </cell>
        </row>
        <row r="155">
          <cell r="A155">
            <v>2.36</v>
          </cell>
          <cell r="B155">
            <v>13.843999999999998</v>
          </cell>
          <cell r="C155">
            <v>12.483999999999998</v>
          </cell>
          <cell r="D155">
            <v>274.86400000000003</v>
          </cell>
          <cell r="E155">
            <v>482.08800000000002</v>
          </cell>
          <cell r="F155">
            <v>14.440000000000003</v>
          </cell>
          <cell r="G155">
            <v>11.440000000000003</v>
          </cell>
          <cell r="H155">
            <v>13.644</v>
          </cell>
          <cell r="I155">
            <v>8.5240000000000009</v>
          </cell>
          <cell r="J155">
            <v>6.52</v>
          </cell>
          <cell r="K155">
            <v>7.4220000000000015</v>
          </cell>
        </row>
        <row r="156">
          <cell r="A156">
            <v>2.37</v>
          </cell>
          <cell r="B156">
            <v>13.881333333333332</v>
          </cell>
          <cell r="C156">
            <v>12.521333333333333</v>
          </cell>
          <cell r="D156">
            <v>275.3246666666667</v>
          </cell>
          <cell r="E156">
            <v>482.98600000000005</v>
          </cell>
          <cell r="F156">
            <v>14.488333333333337</v>
          </cell>
          <cell r="G156">
            <v>11.488333333333337</v>
          </cell>
          <cell r="H156">
            <v>13.644666666666666</v>
          </cell>
          <cell r="I156">
            <v>8.543000000000001</v>
          </cell>
          <cell r="J156">
            <v>6.538333333333334</v>
          </cell>
          <cell r="K156">
            <v>7.4456666666666687</v>
          </cell>
        </row>
        <row r="157">
          <cell r="A157">
            <v>2.38</v>
          </cell>
          <cell r="B157">
            <v>13.918666666666665</v>
          </cell>
          <cell r="C157">
            <v>12.558666666666666</v>
          </cell>
          <cell r="D157">
            <v>275.78533333333337</v>
          </cell>
          <cell r="E157">
            <v>483.88400000000001</v>
          </cell>
          <cell r="F157">
            <v>14.536666666666669</v>
          </cell>
          <cell r="G157">
            <v>11.536666666666669</v>
          </cell>
          <cell r="H157">
            <v>13.645333333333333</v>
          </cell>
          <cell r="I157">
            <v>8.5620000000000012</v>
          </cell>
          <cell r="J157">
            <v>6.5566666666666666</v>
          </cell>
          <cell r="K157">
            <v>7.4693333333333349</v>
          </cell>
        </row>
        <row r="158">
          <cell r="A158">
            <v>2.39</v>
          </cell>
          <cell r="B158">
            <v>13.956</v>
          </cell>
          <cell r="C158">
            <v>12.596</v>
          </cell>
          <cell r="D158">
            <v>276.24600000000004</v>
          </cell>
          <cell r="E158">
            <v>484.78200000000004</v>
          </cell>
          <cell r="F158">
            <v>14.585000000000004</v>
          </cell>
          <cell r="G158">
            <v>11.585000000000004</v>
          </cell>
          <cell r="H158">
            <v>13.645999999999999</v>
          </cell>
          <cell r="I158">
            <v>8.5810000000000013</v>
          </cell>
          <cell r="J158">
            <v>6.5750000000000011</v>
          </cell>
          <cell r="K158">
            <v>7.4930000000000021</v>
          </cell>
        </row>
        <row r="159">
          <cell r="A159">
            <v>2.4</v>
          </cell>
          <cell r="B159">
            <v>13.993333333333332</v>
          </cell>
          <cell r="C159">
            <v>12.633333333333333</v>
          </cell>
          <cell r="D159">
            <v>276.70666666666671</v>
          </cell>
          <cell r="E159">
            <v>485.68000000000006</v>
          </cell>
          <cell r="F159">
            <v>14.633333333333336</v>
          </cell>
          <cell r="G159">
            <v>11.633333333333336</v>
          </cell>
          <cell r="H159">
            <v>13.646666666666667</v>
          </cell>
          <cell r="I159">
            <v>8.6000000000000014</v>
          </cell>
          <cell r="J159">
            <v>6.5933333333333337</v>
          </cell>
          <cell r="K159">
            <v>7.5166666666666684</v>
          </cell>
        </row>
        <row r="160">
          <cell r="A160">
            <v>2.41</v>
          </cell>
          <cell r="B160">
            <v>14.030666666666665</v>
          </cell>
          <cell r="C160">
            <v>12.670666666666666</v>
          </cell>
          <cell r="D160">
            <v>277.16733333333337</v>
          </cell>
          <cell r="E160">
            <v>486.57800000000003</v>
          </cell>
          <cell r="F160">
            <v>14.68166666666667</v>
          </cell>
          <cell r="G160">
            <v>11.68166666666667</v>
          </cell>
          <cell r="H160">
            <v>13.647333333333334</v>
          </cell>
          <cell r="I160">
            <v>8.6190000000000015</v>
          </cell>
          <cell r="J160">
            <v>6.6116666666666664</v>
          </cell>
          <cell r="K160">
            <v>7.5403333333333356</v>
          </cell>
        </row>
        <row r="161">
          <cell r="A161">
            <v>2.42</v>
          </cell>
          <cell r="B161">
            <v>14.067999999999998</v>
          </cell>
          <cell r="C161">
            <v>12.707999999999998</v>
          </cell>
          <cell r="D161">
            <v>277.62800000000004</v>
          </cell>
          <cell r="E161">
            <v>487.476</v>
          </cell>
          <cell r="F161">
            <v>14.730000000000004</v>
          </cell>
          <cell r="G161">
            <v>11.730000000000004</v>
          </cell>
          <cell r="H161">
            <v>13.648</v>
          </cell>
          <cell r="I161">
            <v>8.6380000000000017</v>
          </cell>
          <cell r="J161">
            <v>6.6300000000000008</v>
          </cell>
          <cell r="K161">
            <v>7.5640000000000018</v>
          </cell>
        </row>
        <row r="162">
          <cell r="A162">
            <v>2.4300000000000002</v>
          </cell>
          <cell r="B162">
            <v>14.105333333333332</v>
          </cell>
          <cell r="C162">
            <v>12.745333333333333</v>
          </cell>
          <cell r="D162">
            <v>278.08866666666671</v>
          </cell>
          <cell r="E162">
            <v>488.37400000000002</v>
          </cell>
          <cell r="F162">
            <v>14.778333333333338</v>
          </cell>
          <cell r="G162">
            <v>11.778333333333338</v>
          </cell>
          <cell r="H162">
            <v>13.648666666666667</v>
          </cell>
          <cell r="I162">
            <v>8.6570000000000018</v>
          </cell>
          <cell r="J162">
            <v>6.6483333333333334</v>
          </cell>
          <cell r="K162">
            <v>7.587666666666669</v>
          </cell>
        </row>
        <row r="163">
          <cell r="A163">
            <v>2.44</v>
          </cell>
          <cell r="B163">
            <v>14.142666666666665</v>
          </cell>
          <cell r="C163">
            <v>12.782666666666666</v>
          </cell>
          <cell r="D163">
            <v>278.54933333333338</v>
          </cell>
          <cell r="E163">
            <v>489.27200000000005</v>
          </cell>
          <cell r="F163">
            <v>14.82666666666667</v>
          </cell>
          <cell r="G163">
            <v>11.82666666666667</v>
          </cell>
          <cell r="H163">
            <v>13.649333333333333</v>
          </cell>
          <cell r="I163">
            <v>8.6760000000000019</v>
          </cell>
          <cell r="J163">
            <v>6.6666666666666661</v>
          </cell>
          <cell r="K163">
            <v>7.6113333333333344</v>
          </cell>
        </row>
        <row r="164">
          <cell r="A164">
            <v>2.4500000000000002</v>
          </cell>
          <cell r="B164">
            <v>14.18</v>
          </cell>
          <cell r="C164">
            <v>12.82</v>
          </cell>
          <cell r="D164">
            <v>279.01000000000005</v>
          </cell>
          <cell r="E164">
            <v>490.17000000000007</v>
          </cell>
          <cell r="F164">
            <v>14.875000000000005</v>
          </cell>
          <cell r="G164">
            <v>11.875000000000005</v>
          </cell>
          <cell r="H164">
            <v>13.65</v>
          </cell>
          <cell r="I164">
            <v>8.6950000000000003</v>
          </cell>
          <cell r="J164">
            <v>6.6850000000000005</v>
          </cell>
          <cell r="K164">
            <v>7.6350000000000016</v>
          </cell>
        </row>
        <row r="165">
          <cell r="A165">
            <v>2.46</v>
          </cell>
          <cell r="B165">
            <v>14.217333333333332</v>
          </cell>
          <cell r="C165">
            <v>12.857333333333333</v>
          </cell>
          <cell r="D165">
            <v>279.47066666666672</v>
          </cell>
          <cell r="E165">
            <v>491.06800000000004</v>
          </cell>
          <cell r="F165">
            <v>14.923333333333337</v>
          </cell>
          <cell r="G165">
            <v>11.923333333333337</v>
          </cell>
          <cell r="H165">
            <v>13.650666666666666</v>
          </cell>
          <cell r="I165">
            <v>8.7140000000000022</v>
          </cell>
          <cell r="J165">
            <v>6.7033333333333331</v>
          </cell>
          <cell r="K165">
            <v>7.6586666666666678</v>
          </cell>
        </row>
        <row r="166">
          <cell r="A166">
            <v>2.4700000000000002</v>
          </cell>
          <cell r="B166">
            <v>14.254666666666665</v>
          </cell>
          <cell r="C166">
            <v>12.894666666666666</v>
          </cell>
          <cell r="D166">
            <v>279.93133333333338</v>
          </cell>
          <cell r="E166">
            <v>491.96600000000001</v>
          </cell>
          <cell r="F166">
            <v>14.971666666666671</v>
          </cell>
          <cell r="G166">
            <v>11.971666666666671</v>
          </cell>
          <cell r="H166">
            <v>13.651333333333334</v>
          </cell>
          <cell r="I166">
            <v>8.7330000000000005</v>
          </cell>
          <cell r="J166">
            <v>6.7216666666666676</v>
          </cell>
          <cell r="K166">
            <v>7.682333333333335</v>
          </cell>
        </row>
        <row r="167">
          <cell r="A167">
            <v>2.48</v>
          </cell>
          <cell r="B167">
            <v>14.291999999999998</v>
          </cell>
          <cell r="C167">
            <v>12.931999999999999</v>
          </cell>
          <cell r="D167">
            <v>280.39200000000005</v>
          </cell>
          <cell r="E167">
            <v>492.86400000000003</v>
          </cell>
          <cell r="F167">
            <v>15.020000000000003</v>
          </cell>
          <cell r="G167">
            <v>12.020000000000003</v>
          </cell>
          <cell r="H167">
            <v>13.652000000000001</v>
          </cell>
          <cell r="I167">
            <v>8.7520000000000024</v>
          </cell>
          <cell r="J167">
            <v>6.74</v>
          </cell>
          <cell r="K167">
            <v>7.7060000000000013</v>
          </cell>
        </row>
        <row r="168">
          <cell r="A168">
            <v>2.4900000000000002</v>
          </cell>
          <cell r="B168">
            <v>14.329333333333333</v>
          </cell>
          <cell r="C168">
            <v>12.969333333333333</v>
          </cell>
          <cell r="D168">
            <v>280.85266666666672</v>
          </cell>
          <cell r="E168">
            <v>493.76200000000006</v>
          </cell>
          <cell r="F168">
            <v>15.068333333333339</v>
          </cell>
          <cell r="G168">
            <v>12.068333333333339</v>
          </cell>
          <cell r="H168">
            <v>13.652666666666667</v>
          </cell>
          <cell r="I168">
            <v>8.7710000000000008</v>
          </cell>
          <cell r="J168">
            <v>6.7583333333333346</v>
          </cell>
          <cell r="K168">
            <v>7.7296666666666685</v>
          </cell>
        </row>
        <row r="169">
          <cell r="A169">
            <v>2.5</v>
          </cell>
          <cell r="B169">
            <v>14.366666666666665</v>
          </cell>
          <cell r="C169">
            <v>13.006666666666666</v>
          </cell>
          <cell r="D169">
            <v>281.31333333333339</v>
          </cell>
          <cell r="E169">
            <v>494.66</v>
          </cell>
          <cell r="F169">
            <v>15.116666666666671</v>
          </cell>
          <cell r="G169">
            <v>12.116666666666671</v>
          </cell>
          <cell r="H169">
            <v>13.653333333333334</v>
          </cell>
          <cell r="I169">
            <v>8.7900000000000009</v>
          </cell>
          <cell r="J169">
            <v>6.7766666666666673</v>
          </cell>
          <cell r="K169">
            <v>7.7533333333333347</v>
          </cell>
        </row>
        <row r="170">
          <cell r="A170">
            <v>2.5099999999999998</v>
          </cell>
          <cell r="B170">
            <v>14.403999999999998</v>
          </cell>
          <cell r="C170">
            <v>13.043999999999999</v>
          </cell>
          <cell r="D170">
            <v>281.77400000000006</v>
          </cell>
          <cell r="E170">
            <v>495.55799999999999</v>
          </cell>
          <cell r="F170">
            <v>15.165000000000003</v>
          </cell>
          <cell r="G170">
            <v>12.165000000000003</v>
          </cell>
          <cell r="H170">
            <v>13.654</v>
          </cell>
          <cell r="I170">
            <v>8.8090000000000011</v>
          </cell>
          <cell r="J170">
            <v>6.7949999999999999</v>
          </cell>
          <cell r="K170">
            <v>7.777000000000001</v>
          </cell>
        </row>
        <row r="171">
          <cell r="A171">
            <v>2.52</v>
          </cell>
          <cell r="B171">
            <v>14.441333333333333</v>
          </cell>
          <cell r="C171">
            <v>13.081333333333333</v>
          </cell>
          <cell r="D171">
            <v>282.23466666666673</v>
          </cell>
          <cell r="E171">
            <v>496.45600000000002</v>
          </cell>
          <cell r="F171">
            <v>15.213333333333338</v>
          </cell>
          <cell r="G171">
            <v>12.213333333333338</v>
          </cell>
          <cell r="H171">
            <v>13.654666666666667</v>
          </cell>
          <cell r="I171">
            <v>8.8280000000000012</v>
          </cell>
          <cell r="J171">
            <v>6.8133333333333344</v>
          </cell>
          <cell r="K171">
            <v>7.8006666666666682</v>
          </cell>
        </row>
        <row r="172">
          <cell r="A172">
            <v>2.5299999999999998</v>
          </cell>
          <cell r="B172">
            <v>14.478666666666664</v>
          </cell>
          <cell r="C172">
            <v>13.118666666666664</v>
          </cell>
          <cell r="D172">
            <v>282.69533333333339</v>
          </cell>
          <cell r="E172">
            <v>497.35400000000004</v>
          </cell>
          <cell r="F172">
            <v>15.26166666666667</v>
          </cell>
          <cell r="G172">
            <v>12.26166666666667</v>
          </cell>
          <cell r="H172">
            <v>13.655333333333333</v>
          </cell>
          <cell r="I172">
            <v>8.8470000000000013</v>
          </cell>
          <cell r="J172">
            <v>6.831666666666667</v>
          </cell>
          <cell r="K172">
            <v>7.8243333333333345</v>
          </cell>
        </row>
        <row r="173">
          <cell r="A173">
            <v>2.54</v>
          </cell>
          <cell r="B173">
            <v>14.515999999999998</v>
          </cell>
          <cell r="C173">
            <v>13.155999999999999</v>
          </cell>
          <cell r="D173">
            <v>283.15600000000006</v>
          </cell>
          <cell r="E173">
            <v>498.25200000000007</v>
          </cell>
          <cell r="F173">
            <v>15.310000000000004</v>
          </cell>
          <cell r="G173">
            <v>12.310000000000004</v>
          </cell>
          <cell r="H173">
            <v>13.656000000000001</v>
          </cell>
          <cell r="I173">
            <v>8.8660000000000014</v>
          </cell>
          <cell r="J173">
            <v>6.85</v>
          </cell>
          <cell r="K173">
            <v>7.8480000000000016</v>
          </cell>
        </row>
        <row r="174">
          <cell r="A174">
            <v>2.5499999999999998</v>
          </cell>
          <cell r="B174">
            <v>14.553333333333331</v>
          </cell>
          <cell r="C174">
            <v>13.193333333333332</v>
          </cell>
          <cell r="D174">
            <v>283.61666666666673</v>
          </cell>
          <cell r="E174">
            <v>499.15</v>
          </cell>
          <cell r="F174">
            <v>15.358333333333336</v>
          </cell>
          <cell r="G174">
            <v>12.358333333333336</v>
          </cell>
          <cell r="H174">
            <v>13.656666666666668</v>
          </cell>
          <cell r="I174">
            <v>8.8850000000000016</v>
          </cell>
          <cell r="J174">
            <v>6.8683333333333341</v>
          </cell>
          <cell r="K174">
            <v>7.8716666666666679</v>
          </cell>
        </row>
        <row r="175">
          <cell r="A175">
            <v>2.56</v>
          </cell>
          <cell r="B175">
            <v>14.590666666666666</v>
          </cell>
          <cell r="C175">
            <v>13.230666666666666</v>
          </cell>
          <cell r="D175">
            <v>284.0773333333334</v>
          </cell>
          <cell r="E175">
            <v>500.048</v>
          </cell>
          <cell r="F175">
            <v>15.406666666666672</v>
          </cell>
          <cell r="G175">
            <v>12.406666666666672</v>
          </cell>
          <cell r="H175">
            <v>13.657333333333334</v>
          </cell>
          <cell r="I175">
            <v>8.9040000000000017</v>
          </cell>
          <cell r="J175">
            <v>6.8866666666666667</v>
          </cell>
          <cell r="K175">
            <v>7.8953333333333351</v>
          </cell>
        </row>
        <row r="176">
          <cell r="A176">
            <v>2.57</v>
          </cell>
          <cell r="B176">
            <v>14.627999999999998</v>
          </cell>
          <cell r="C176">
            <v>13.267999999999999</v>
          </cell>
          <cell r="D176">
            <v>284.53800000000007</v>
          </cell>
          <cell r="E176">
            <v>500.94600000000003</v>
          </cell>
          <cell r="F176">
            <v>15.455000000000004</v>
          </cell>
          <cell r="G176">
            <v>12.455000000000004</v>
          </cell>
          <cell r="H176">
            <v>13.658000000000001</v>
          </cell>
          <cell r="I176">
            <v>8.9230000000000018</v>
          </cell>
          <cell r="J176">
            <v>6.9049999999999994</v>
          </cell>
          <cell r="K176">
            <v>7.9190000000000014</v>
          </cell>
        </row>
        <row r="177">
          <cell r="A177">
            <v>2.58</v>
          </cell>
          <cell r="B177">
            <v>14.665333333333331</v>
          </cell>
          <cell r="C177">
            <v>13.305333333333332</v>
          </cell>
          <cell r="D177">
            <v>284.99866666666674</v>
          </cell>
          <cell r="E177">
            <v>501.84400000000005</v>
          </cell>
          <cell r="F177">
            <v>15.503333333333337</v>
          </cell>
          <cell r="G177">
            <v>12.503333333333337</v>
          </cell>
          <cell r="H177">
            <v>13.658666666666667</v>
          </cell>
          <cell r="I177">
            <v>8.9420000000000019</v>
          </cell>
          <cell r="J177">
            <v>6.9233333333333338</v>
          </cell>
          <cell r="K177">
            <v>7.9426666666666685</v>
          </cell>
        </row>
        <row r="178">
          <cell r="A178">
            <v>2.59</v>
          </cell>
          <cell r="B178">
            <v>14.702666666666664</v>
          </cell>
          <cell r="C178">
            <v>13.342666666666664</v>
          </cell>
          <cell r="D178">
            <v>285.4593333333334</v>
          </cell>
          <cell r="E178">
            <v>502.74200000000002</v>
          </cell>
          <cell r="F178">
            <v>15.551666666666671</v>
          </cell>
          <cell r="G178">
            <v>12.551666666666671</v>
          </cell>
          <cell r="H178">
            <v>13.659333333333334</v>
          </cell>
          <cell r="I178">
            <v>8.9610000000000021</v>
          </cell>
          <cell r="J178">
            <v>6.9416666666666664</v>
          </cell>
          <cell r="K178">
            <v>7.9663333333333348</v>
          </cell>
        </row>
        <row r="179">
          <cell r="A179">
            <v>2.6</v>
          </cell>
          <cell r="B179">
            <v>14.739999999999998</v>
          </cell>
          <cell r="C179">
            <v>13.379999999999999</v>
          </cell>
          <cell r="D179">
            <v>285.92000000000007</v>
          </cell>
          <cell r="E179">
            <v>503.64000000000004</v>
          </cell>
          <cell r="F179">
            <v>15.600000000000005</v>
          </cell>
          <cell r="G179">
            <v>12.600000000000005</v>
          </cell>
          <cell r="H179">
            <v>13.66</v>
          </cell>
          <cell r="I179">
            <v>8.98</v>
          </cell>
          <cell r="J179">
            <v>6.9600000000000009</v>
          </cell>
          <cell r="K179">
            <v>7.990000000000002</v>
          </cell>
        </row>
        <row r="180">
          <cell r="A180">
            <v>2.61</v>
          </cell>
          <cell r="B180">
            <v>14.777333333333331</v>
          </cell>
          <cell r="C180">
            <v>13.417333333333332</v>
          </cell>
          <cell r="D180">
            <v>286.38066666666674</v>
          </cell>
          <cell r="E180">
            <v>504.53800000000001</v>
          </cell>
          <cell r="F180">
            <v>15.648333333333337</v>
          </cell>
          <cell r="G180">
            <v>12.648333333333337</v>
          </cell>
          <cell r="H180">
            <v>13.660666666666668</v>
          </cell>
          <cell r="I180">
            <v>8.9990000000000023</v>
          </cell>
          <cell r="J180">
            <v>6.9783333333333335</v>
          </cell>
          <cell r="K180">
            <v>8.0136666666666692</v>
          </cell>
        </row>
        <row r="181">
          <cell r="A181">
            <v>2.62</v>
          </cell>
          <cell r="B181">
            <v>14.814666666666666</v>
          </cell>
          <cell r="C181">
            <v>13.454666666666666</v>
          </cell>
          <cell r="D181">
            <v>286.84133333333341</v>
          </cell>
          <cell r="E181">
            <v>505.43600000000004</v>
          </cell>
          <cell r="F181">
            <v>15.696666666666673</v>
          </cell>
          <cell r="G181">
            <v>12.696666666666673</v>
          </cell>
          <cell r="H181">
            <v>13.661333333333335</v>
          </cell>
          <cell r="I181">
            <v>9.0180000000000007</v>
          </cell>
          <cell r="J181">
            <v>6.9966666666666679</v>
          </cell>
          <cell r="K181">
            <v>8.0373333333333363</v>
          </cell>
        </row>
        <row r="182">
          <cell r="A182">
            <v>2.63</v>
          </cell>
          <cell r="B182">
            <v>14.851999999999999</v>
          </cell>
          <cell r="C182">
            <v>13.491999999999999</v>
          </cell>
          <cell r="D182">
            <v>287.30200000000008</v>
          </cell>
          <cell r="E182">
            <v>506.33400000000006</v>
          </cell>
          <cell r="F182">
            <v>15.745000000000005</v>
          </cell>
          <cell r="G182">
            <v>12.745000000000005</v>
          </cell>
          <cell r="H182">
            <v>13.662000000000001</v>
          </cell>
          <cell r="I182">
            <v>9.0370000000000026</v>
          </cell>
          <cell r="J182">
            <v>7.0150000000000006</v>
          </cell>
          <cell r="K182">
            <v>8.0610000000000017</v>
          </cell>
        </row>
        <row r="183">
          <cell r="A183">
            <v>2.64</v>
          </cell>
          <cell r="B183">
            <v>14.889333333333331</v>
          </cell>
          <cell r="C183">
            <v>13.529333333333332</v>
          </cell>
          <cell r="D183">
            <v>287.76266666666675</v>
          </cell>
          <cell r="E183">
            <v>507.23200000000008</v>
          </cell>
          <cell r="F183">
            <v>15.793333333333338</v>
          </cell>
          <cell r="G183">
            <v>12.793333333333338</v>
          </cell>
          <cell r="H183">
            <v>13.662666666666668</v>
          </cell>
          <cell r="I183">
            <v>9.0560000000000009</v>
          </cell>
          <cell r="J183">
            <v>7.0333333333333332</v>
          </cell>
          <cell r="K183">
            <v>8.0846666666666689</v>
          </cell>
        </row>
        <row r="184">
          <cell r="A184">
            <v>2.65</v>
          </cell>
          <cell r="B184">
            <v>14.926666666666664</v>
          </cell>
          <cell r="C184">
            <v>13.566666666666665</v>
          </cell>
          <cell r="D184">
            <v>288.22333333333341</v>
          </cell>
          <cell r="E184">
            <v>508.13</v>
          </cell>
          <cell r="F184">
            <v>15.84166666666667</v>
          </cell>
          <cell r="G184">
            <v>12.84166666666667</v>
          </cell>
          <cell r="H184">
            <v>13.663333333333334</v>
          </cell>
          <cell r="I184">
            <v>9.0750000000000011</v>
          </cell>
          <cell r="J184">
            <v>7.0516666666666676</v>
          </cell>
          <cell r="K184">
            <v>8.1083333333333343</v>
          </cell>
        </row>
        <row r="185">
          <cell r="A185">
            <v>2.66</v>
          </cell>
          <cell r="B185">
            <v>14.963999999999999</v>
          </cell>
          <cell r="C185">
            <v>13.603999999999999</v>
          </cell>
          <cell r="D185">
            <v>288.68400000000008</v>
          </cell>
          <cell r="E185">
            <v>509.02800000000002</v>
          </cell>
          <cell r="F185">
            <v>15.890000000000006</v>
          </cell>
          <cell r="G185">
            <v>12.890000000000006</v>
          </cell>
          <cell r="H185">
            <v>13.664000000000001</v>
          </cell>
          <cell r="I185">
            <v>9.0940000000000012</v>
          </cell>
          <cell r="J185">
            <v>7.07</v>
          </cell>
          <cell r="K185">
            <v>8.1320000000000014</v>
          </cell>
        </row>
        <row r="186">
          <cell r="A186">
            <v>2.67</v>
          </cell>
          <cell r="B186">
            <v>15.001333333333331</v>
          </cell>
          <cell r="C186">
            <v>13.641333333333332</v>
          </cell>
          <cell r="D186">
            <v>289.14466666666675</v>
          </cell>
          <cell r="E186">
            <v>509.92600000000004</v>
          </cell>
          <cell r="F186">
            <v>15.938333333333338</v>
          </cell>
          <cell r="G186">
            <v>12.938333333333338</v>
          </cell>
          <cell r="H186">
            <v>13.664666666666667</v>
          </cell>
          <cell r="I186">
            <v>9.1130000000000013</v>
          </cell>
          <cell r="J186">
            <v>7.0883333333333329</v>
          </cell>
          <cell r="K186">
            <v>8.1556666666666686</v>
          </cell>
        </row>
        <row r="187">
          <cell r="A187">
            <v>2.68</v>
          </cell>
          <cell r="B187">
            <v>15.038666666666666</v>
          </cell>
          <cell r="C187">
            <v>13.678666666666667</v>
          </cell>
          <cell r="D187">
            <v>289.60533333333342</v>
          </cell>
          <cell r="E187">
            <v>510.82400000000007</v>
          </cell>
          <cell r="F187">
            <v>15.986666666666672</v>
          </cell>
          <cell r="G187">
            <v>12.986666666666672</v>
          </cell>
          <cell r="H187">
            <v>13.665333333333335</v>
          </cell>
          <cell r="I187">
            <v>9.1320000000000014</v>
          </cell>
          <cell r="J187">
            <v>7.1066666666666674</v>
          </cell>
          <cell r="K187">
            <v>8.1793333333333358</v>
          </cell>
        </row>
        <row r="188">
          <cell r="A188">
            <v>2.69</v>
          </cell>
          <cell r="B188">
            <v>15.075999999999999</v>
          </cell>
          <cell r="C188">
            <v>13.715999999999999</v>
          </cell>
          <cell r="D188">
            <v>290.06600000000009</v>
          </cell>
          <cell r="E188">
            <v>511.72200000000004</v>
          </cell>
          <cell r="F188">
            <v>16.035000000000004</v>
          </cell>
          <cell r="G188">
            <v>13.035000000000005</v>
          </cell>
          <cell r="H188">
            <v>13.666</v>
          </cell>
          <cell r="I188">
            <v>9.1510000000000016</v>
          </cell>
          <cell r="J188">
            <v>7.125</v>
          </cell>
          <cell r="K188">
            <v>8.203000000000003</v>
          </cell>
        </row>
        <row r="189">
          <cell r="A189">
            <v>2.7</v>
          </cell>
          <cell r="B189">
            <v>15.113333333333332</v>
          </cell>
          <cell r="C189">
            <v>13.753333333333332</v>
          </cell>
          <cell r="D189">
            <v>290.52666666666676</v>
          </cell>
          <cell r="E189">
            <v>512.62000000000012</v>
          </cell>
          <cell r="F189">
            <v>16.083333333333339</v>
          </cell>
          <cell r="G189">
            <v>13.083333333333339</v>
          </cell>
          <cell r="H189">
            <v>13.666666666666668</v>
          </cell>
          <cell r="I189">
            <v>9.1700000000000017</v>
          </cell>
          <cell r="J189">
            <v>7.1433333333333344</v>
          </cell>
          <cell r="K189">
            <v>8.2266666666666701</v>
          </cell>
        </row>
        <row r="190">
          <cell r="A190">
            <v>2.71</v>
          </cell>
          <cell r="B190">
            <v>15.150666666666664</v>
          </cell>
          <cell r="C190">
            <v>13.790666666666665</v>
          </cell>
          <cell r="D190">
            <v>290.98733333333342</v>
          </cell>
          <cell r="E190">
            <v>513.51800000000003</v>
          </cell>
          <cell r="F190">
            <v>16.131666666666671</v>
          </cell>
          <cell r="G190">
            <v>13.131666666666671</v>
          </cell>
          <cell r="H190">
            <v>13.667333333333335</v>
          </cell>
          <cell r="I190">
            <v>9.1890000000000018</v>
          </cell>
          <cell r="J190">
            <v>7.1616666666666671</v>
          </cell>
          <cell r="K190">
            <v>8.2503333333333355</v>
          </cell>
        </row>
        <row r="191">
          <cell r="A191">
            <v>2.72</v>
          </cell>
          <cell r="B191">
            <v>15.187999999999999</v>
          </cell>
          <cell r="C191">
            <v>13.827999999999999</v>
          </cell>
          <cell r="D191">
            <v>291.44800000000009</v>
          </cell>
          <cell r="E191">
            <v>514.41600000000005</v>
          </cell>
          <cell r="F191">
            <v>16.180000000000007</v>
          </cell>
          <cell r="G191">
            <v>13.180000000000007</v>
          </cell>
          <cell r="H191">
            <v>13.668000000000001</v>
          </cell>
          <cell r="I191">
            <v>9.208000000000002</v>
          </cell>
          <cell r="J191">
            <v>7.1800000000000015</v>
          </cell>
          <cell r="K191">
            <v>8.2740000000000027</v>
          </cell>
        </row>
        <row r="192">
          <cell r="A192">
            <v>2.73</v>
          </cell>
          <cell r="B192">
            <v>15.225333333333332</v>
          </cell>
          <cell r="C192">
            <v>13.865333333333332</v>
          </cell>
          <cell r="D192">
            <v>291.90866666666676</v>
          </cell>
          <cell r="E192">
            <v>515.31400000000008</v>
          </cell>
          <cell r="F192">
            <v>16.228333333333339</v>
          </cell>
          <cell r="G192">
            <v>13.228333333333339</v>
          </cell>
          <cell r="H192">
            <v>13.668666666666669</v>
          </cell>
          <cell r="I192">
            <v>9.2270000000000021</v>
          </cell>
          <cell r="J192">
            <v>7.1983333333333341</v>
          </cell>
          <cell r="K192">
            <v>8.2976666666666681</v>
          </cell>
        </row>
        <row r="193">
          <cell r="A193">
            <v>2.74</v>
          </cell>
          <cell r="B193">
            <v>15.262666666666666</v>
          </cell>
          <cell r="C193">
            <v>13.902666666666667</v>
          </cell>
          <cell r="D193">
            <v>292.36933333333343</v>
          </cell>
          <cell r="E193">
            <v>516.21199999999999</v>
          </cell>
          <cell r="F193">
            <v>16.276666666666671</v>
          </cell>
          <cell r="G193">
            <v>13.276666666666673</v>
          </cell>
          <cell r="H193">
            <v>13.669333333333334</v>
          </cell>
          <cell r="I193">
            <v>9.2460000000000022</v>
          </cell>
          <cell r="J193">
            <v>7.2166666666666668</v>
          </cell>
          <cell r="K193">
            <v>8.3213333333333352</v>
          </cell>
        </row>
        <row r="194">
          <cell r="A194">
            <v>2.75</v>
          </cell>
          <cell r="B194">
            <v>15.299999999999999</v>
          </cell>
          <cell r="C194">
            <v>13.94</v>
          </cell>
          <cell r="D194">
            <v>292.8300000000001</v>
          </cell>
          <cell r="E194">
            <v>517.11</v>
          </cell>
          <cell r="F194">
            <v>16.325000000000003</v>
          </cell>
          <cell r="G194">
            <v>13.325000000000005</v>
          </cell>
          <cell r="H194">
            <v>13.670000000000002</v>
          </cell>
          <cell r="I194">
            <v>9.2650000000000006</v>
          </cell>
          <cell r="J194">
            <v>7.2349999999999994</v>
          </cell>
          <cell r="K194">
            <v>8.3450000000000024</v>
          </cell>
        </row>
        <row r="195">
          <cell r="A195">
            <v>2.76</v>
          </cell>
          <cell r="B195">
            <v>15.33733333333333</v>
          </cell>
          <cell r="C195">
            <v>13.977333333333331</v>
          </cell>
          <cell r="D195">
            <v>293.29066666666677</v>
          </cell>
          <cell r="E195">
            <v>518.00800000000004</v>
          </cell>
          <cell r="F195">
            <v>16.373333333333338</v>
          </cell>
          <cell r="G195">
            <v>13.373333333333338</v>
          </cell>
          <cell r="H195">
            <v>13.670666666666667</v>
          </cell>
          <cell r="I195">
            <v>9.2840000000000025</v>
          </cell>
          <cell r="J195">
            <v>7.2533333333333339</v>
          </cell>
          <cell r="K195">
            <v>8.3686666666666678</v>
          </cell>
        </row>
        <row r="196">
          <cell r="A196">
            <v>2.77</v>
          </cell>
          <cell r="B196">
            <v>15.374666666666664</v>
          </cell>
          <cell r="C196">
            <v>14.014666666666665</v>
          </cell>
          <cell r="D196">
            <v>293.75133333333343</v>
          </cell>
          <cell r="E196">
            <v>518.90600000000006</v>
          </cell>
          <cell r="F196">
            <v>16.421666666666674</v>
          </cell>
          <cell r="G196">
            <v>13.421666666666672</v>
          </cell>
          <cell r="H196">
            <v>13.671333333333335</v>
          </cell>
          <cell r="I196">
            <v>9.3030000000000008</v>
          </cell>
          <cell r="J196">
            <v>7.2716666666666665</v>
          </cell>
          <cell r="K196">
            <v>8.392333333333335</v>
          </cell>
        </row>
        <row r="197">
          <cell r="A197">
            <v>2.78</v>
          </cell>
          <cell r="B197">
            <v>15.411999999999997</v>
          </cell>
          <cell r="C197">
            <v>14.051999999999998</v>
          </cell>
          <cell r="D197">
            <v>294.2120000000001</v>
          </cell>
          <cell r="E197">
            <v>519.80400000000009</v>
          </cell>
          <cell r="F197">
            <v>16.470000000000006</v>
          </cell>
          <cell r="G197">
            <v>13.470000000000004</v>
          </cell>
          <cell r="H197">
            <v>13.672000000000002</v>
          </cell>
          <cell r="I197">
            <v>9.3220000000000027</v>
          </cell>
          <cell r="J197">
            <v>7.2899999999999991</v>
          </cell>
          <cell r="K197">
            <v>8.4160000000000004</v>
          </cell>
        </row>
        <row r="198">
          <cell r="A198">
            <v>2.79</v>
          </cell>
          <cell r="B198">
            <v>15.449333333333332</v>
          </cell>
          <cell r="C198">
            <v>14.089333333333332</v>
          </cell>
          <cell r="D198">
            <v>294.67266666666677</v>
          </cell>
          <cell r="E198">
            <v>520.702</v>
          </cell>
          <cell r="F198">
            <v>16.518333333333338</v>
          </cell>
          <cell r="G198">
            <v>13.51833333333334</v>
          </cell>
          <cell r="H198">
            <v>13.672666666666668</v>
          </cell>
          <cell r="I198">
            <v>9.3410000000000011</v>
          </cell>
          <cell r="J198">
            <v>7.3083333333333336</v>
          </cell>
          <cell r="K198">
            <v>8.4396666666666675</v>
          </cell>
        </row>
        <row r="199">
          <cell r="A199">
            <v>2.8</v>
          </cell>
          <cell r="B199">
            <v>15.486666666666665</v>
          </cell>
          <cell r="C199">
            <v>14.126666666666665</v>
          </cell>
          <cell r="D199">
            <v>295.13333333333344</v>
          </cell>
          <cell r="E199">
            <v>521.6</v>
          </cell>
          <cell r="F199">
            <v>16.56666666666667</v>
          </cell>
          <cell r="G199">
            <v>13.566666666666672</v>
          </cell>
          <cell r="H199">
            <v>13.673333333333336</v>
          </cell>
          <cell r="I199">
            <v>9.3600000000000012</v>
          </cell>
          <cell r="J199">
            <v>7.3266666666666662</v>
          </cell>
          <cell r="K199">
            <v>8.4633333333333347</v>
          </cell>
        </row>
        <row r="200">
          <cell r="A200">
            <v>2.81</v>
          </cell>
          <cell r="B200">
            <v>15.523999999999999</v>
          </cell>
          <cell r="C200">
            <v>14.164</v>
          </cell>
          <cell r="D200">
            <v>295.59400000000011</v>
          </cell>
          <cell r="E200">
            <v>522.49800000000005</v>
          </cell>
          <cell r="F200">
            <v>16.615000000000006</v>
          </cell>
          <cell r="G200">
            <v>13.615000000000006</v>
          </cell>
          <cell r="H200">
            <v>13.674000000000001</v>
          </cell>
          <cell r="I200">
            <v>9.3790000000000013</v>
          </cell>
          <cell r="J200">
            <v>7.3450000000000006</v>
          </cell>
          <cell r="K200">
            <v>8.4870000000000019</v>
          </cell>
        </row>
        <row r="201">
          <cell r="A201">
            <v>2.82</v>
          </cell>
          <cell r="B201">
            <v>15.56133333333333</v>
          </cell>
          <cell r="C201">
            <v>14.201333333333331</v>
          </cell>
          <cell r="D201">
            <v>296.05466666666678</v>
          </cell>
          <cell r="E201">
            <v>523.39599999999996</v>
          </cell>
          <cell r="F201">
            <v>16.663333333333341</v>
          </cell>
          <cell r="G201">
            <v>13.663333333333339</v>
          </cell>
          <cell r="H201">
            <v>13.674666666666669</v>
          </cell>
          <cell r="I201">
            <v>9.3980000000000015</v>
          </cell>
          <cell r="J201">
            <v>7.3633333333333333</v>
          </cell>
          <cell r="K201">
            <v>8.510666666666669</v>
          </cell>
        </row>
        <row r="202">
          <cell r="A202">
            <v>2.83</v>
          </cell>
          <cell r="B202">
            <v>15.598666666666665</v>
          </cell>
          <cell r="C202">
            <v>14.238666666666665</v>
          </cell>
          <cell r="D202">
            <v>296.51533333333344</v>
          </cell>
          <cell r="E202">
            <v>524.2940000000001</v>
          </cell>
          <cell r="F202">
            <v>16.711666666666673</v>
          </cell>
          <cell r="G202">
            <v>13.711666666666673</v>
          </cell>
          <cell r="H202">
            <v>13.675333333333334</v>
          </cell>
          <cell r="I202">
            <v>9.4170000000000016</v>
          </cell>
          <cell r="J202">
            <v>7.3816666666666677</v>
          </cell>
          <cell r="K202">
            <v>8.5343333333333362</v>
          </cell>
        </row>
        <row r="203">
          <cell r="A203">
            <v>2.84</v>
          </cell>
          <cell r="B203">
            <v>15.635999999999997</v>
          </cell>
          <cell r="C203">
            <v>14.275999999999998</v>
          </cell>
          <cell r="D203">
            <v>296.97600000000011</v>
          </cell>
          <cell r="E203">
            <v>525.19200000000001</v>
          </cell>
          <cell r="F203">
            <v>16.760000000000005</v>
          </cell>
          <cell r="G203">
            <v>13.760000000000005</v>
          </cell>
          <cell r="H203">
            <v>13.676000000000002</v>
          </cell>
          <cell r="I203">
            <v>9.4360000000000017</v>
          </cell>
          <cell r="J203">
            <v>7.4</v>
          </cell>
          <cell r="K203">
            <v>8.5580000000000016</v>
          </cell>
        </row>
        <row r="204">
          <cell r="A204">
            <v>2.85</v>
          </cell>
          <cell r="B204">
            <v>15.673333333333332</v>
          </cell>
          <cell r="C204">
            <v>14.313333333333333</v>
          </cell>
          <cell r="D204">
            <v>297.43666666666678</v>
          </cell>
          <cell r="E204">
            <v>526.09</v>
          </cell>
          <cell r="F204">
            <v>16.808333333333341</v>
          </cell>
          <cell r="G204">
            <v>13.808333333333341</v>
          </cell>
          <cell r="H204">
            <v>13.676666666666669</v>
          </cell>
          <cell r="I204">
            <v>9.4550000000000018</v>
          </cell>
          <cell r="J204">
            <v>7.418333333333333</v>
          </cell>
          <cell r="K204">
            <v>8.5816666666666688</v>
          </cell>
        </row>
        <row r="205">
          <cell r="A205">
            <v>2.86</v>
          </cell>
          <cell r="B205">
            <v>15.710666666666665</v>
          </cell>
          <cell r="C205">
            <v>14.350666666666665</v>
          </cell>
          <cell r="D205">
            <v>297.89733333333345</v>
          </cell>
          <cell r="E205">
            <v>526.98800000000006</v>
          </cell>
          <cell r="F205">
            <v>16.856666666666673</v>
          </cell>
          <cell r="G205">
            <v>13.856666666666673</v>
          </cell>
          <cell r="H205">
            <v>13.677333333333335</v>
          </cell>
          <cell r="I205">
            <v>9.474000000000002</v>
          </cell>
          <cell r="J205">
            <v>7.4366666666666674</v>
          </cell>
          <cell r="K205">
            <v>8.6053333333333342</v>
          </cell>
        </row>
        <row r="206">
          <cell r="A206">
            <v>2.87</v>
          </cell>
          <cell r="B206">
            <v>15.747999999999998</v>
          </cell>
          <cell r="C206">
            <v>14.387999999999998</v>
          </cell>
          <cell r="D206">
            <v>298.35800000000012</v>
          </cell>
          <cell r="E206">
            <v>527.88599999999997</v>
          </cell>
          <cell r="F206">
            <v>16.905000000000008</v>
          </cell>
          <cell r="G206">
            <v>13.905000000000006</v>
          </cell>
          <cell r="H206">
            <v>13.678000000000003</v>
          </cell>
          <cell r="I206">
            <v>9.4930000000000021</v>
          </cell>
          <cell r="J206">
            <v>7.4550000000000001</v>
          </cell>
          <cell r="K206">
            <v>8.6290000000000013</v>
          </cell>
        </row>
        <row r="207">
          <cell r="A207">
            <v>2.88</v>
          </cell>
          <cell r="B207">
            <v>15.78533333333333</v>
          </cell>
          <cell r="C207">
            <v>14.425333333333331</v>
          </cell>
          <cell r="D207">
            <v>298.81866666666679</v>
          </cell>
          <cell r="E207">
            <v>528.78400000000011</v>
          </cell>
          <cell r="F207">
            <v>16.95333333333334</v>
          </cell>
          <cell r="G207">
            <v>13.953333333333338</v>
          </cell>
          <cell r="H207">
            <v>13.678666666666668</v>
          </cell>
          <cell r="I207">
            <v>9.5120000000000005</v>
          </cell>
          <cell r="J207">
            <v>7.4733333333333327</v>
          </cell>
          <cell r="K207">
            <v>8.6526666666666685</v>
          </cell>
        </row>
        <row r="208">
          <cell r="A208">
            <v>2.89</v>
          </cell>
          <cell r="B208">
            <v>15.822666666666665</v>
          </cell>
          <cell r="C208">
            <v>14.462666666666665</v>
          </cell>
          <cell r="D208">
            <v>299.27933333333345</v>
          </cell>
          <cell r="E208">
            <v>529.68200000000002</v>
          </cell>
          <cell r="F208">
            <v>17.001666666666672</v>
          </cell>
          <cell r="G208">
            <v>14.001666666666674</v>
          </cell>
          <cell r="H208">
            <v>13.679333333333336</v>
          </cell>
          <cell r="I208">
            <v>9.5310000000000024</v>
          </cell>
          <cell r="J208">
            <v>7.4916666666666671</v>
          </cell>
          <cell r="K208">
            <v>8.6763333333333357</v>
          </cell>
        </row>
        <row r="209">
          <cell r="A209">
            <v>2.9</v>
          </cell>
          <cell r="B209">
            <v>15.859999999999998</v>
          </cell>
          <cell r="C209">
            <v>14.499999999999998</v>
          </cell>
          <cell r="D209">
            <v>299.74000000000012</v>
          </cell>
          <cell r="E209">
            <v>530.58000000000004</v>
          </cell>
          <cell r="F209">
            <v>17.050000000000004</v>
          </cell>
          <cell r="G209">
            <v>14.050000000000006</v>
          </cell>
          <cell r="H209">
            <v>13.680000000000001</v>
          </cell>
          <cell r="I209">
            <v>9.5500000000000007</v>
          </cell>
          <cell r="J209">
            <v>7.51</v>
          </cell>
          <cell r="K209">
            <v>8.7000000000000028</v>
          </cell>
        </row>
        <row r="210">
          <cell r="A210">
            <v>2.91</v>
          </cell>
          <cell r="B210">
            <v>15.897333333333332</v>
          </cell>
          <cell r="C210">
            <v>14.537333333333333</v>
          </cell>
          <cell r="D210">
            <v>300.20066666666679</v>
          </cell>
          <cell r="E210">
            <v>531.47800000000007</v>
          </cell>
          <cell r="F210">
            <v>17.09833333333334</v>
          </cell>
          <cell r="G210">
            <v>14.09833333333334</v>
          </cell>
          <cell r="H210">
            <v>13.680666666666669</v>
          </cell>
          <cell r="I210">
            <v>9.5690000000000026</v>
          </cell>
          <cell r="J210">
            <v>7.5283333333333342</v>
          </cell>
          <cell r="K210">
            <v>8.72366666666667</v>
          </cell>
        </row>
        <row r="211">
          <cell r="A211">
            <v>2.92</v>
          </cell>
          <cell r="B211">
            <v>15.934666666666665</v>
          </cell>
          <cell r="C211">
            <v>14.574666666666666</v>
          </cell>
          <cell r="D211">
            <v>300.66133333333346</v>
          </cell>
          <cell r="E211">
            <v>532.37599999999998</v>
          </cell>
          <cell r="F211">
            <v>17.146666666666675</v>
          </cell>
          <cell r="G211">
            <v>14.146666666666674</v>
          </cell>
          <cell r="H211">
            <v>13.681333333333335</v>
          </cell>
          <cell r="I211">
            <v>9.588000000000001</v>
          </cell>
          <cell r="J211">
            <v>7.5466666666666669</v>
          </cell>
          <cell r="K211">
            <v>8.7473333333333354</v>
          </cell>
        </row>
        <row r="212">
          <cell r="A212">
            <v>2.93</v>
          </cell>
          <cell r="B212">
            <v>15.971999999999998</v>
          </cell>
          <cell r="C212">
            <v>14.611999999999998</v>
          </cell>
          <cell r="D212">
            <v>301.12200000000013</v>
          </cell>
          <cell r="E212">
            <v>533.27400000000011</v>
          </cell>
          <cell r="F212">
            <v>17.195000000000007</v>
          </cell>
          <cell r="G212">
            <v>14.195000000000007</v>
          </cell>
          <cell r="H212">
            <v>13.682000000000002</v>
          </cell>
          <cell r="I212">
            <v>9.6070000000000029</v>
          </cell>
          <cell r="J212">
            <v>7.5650000000000013</v>
          </cell>
          <cell r="K212">
            <v>8.7710000000000026</v>
          </cell>
        </row>
        <row r="213">
          <cell r="A213">
            <v>2.94</v>
          </cell>
          <cell r="B213">
            <v>16.009333333333331</v>
          </cell>
          <cell r="C213">
            <v>14.649333333333331</v>
          </cell>
          <cell r="D213">
            <v>301.5826666666668</v>
          </cell>
          <cell r="E213">
            <v>534.17200000000003</v>
          </cell>
          <cell r="F213">
            <v>17.243333333333339</v>
          </cell>
          <cell r="G213">
            <v>14.243333333333339</v>
          </cell>
          <cell r="H213">
            <v>13.68266666666667</v>
          </cell>
          <cell r="I213">
            <v>9.6260000000000012</v>
          </cell>
          <cell r="J213">
            <v>7.5833333333333339</v>
          </cell>
          <cell r="K213">
            <v>8.794666666666668</v>
          </cell>
        </row>
        <row r="214">
          <cell r="A214">
            <v>2.95</v>
          </cell>
          <cell r="B214">
            <v>16.046666666666667</v>
          </cell>
          <cell r="C214">
            <v>14.686666666666666</v>
          </cell>
          <cell r="D214">
            <v>302.04333333333352</v>
          </cell>
          <cell r="E214">
            <v>535.07000000000005</v>
          </cell>
          <cell r="F214">
            <v>17.291666666666675</v>
          </cell>
          <cell r="G214">
            <v>14.291666666666675</v>
          </cell>
          <cell r="H214">
            <v>13.683333333333335</v>
          </cell>
          <cell r="I214">
            <v>9.6450000000000031</v>
          </cell>
          <cell r="J214">
            <v>7.6016666666666666</v>
          </cell>
          <cell r="K214">
            <v>8.8183333333333351</v>
          </cell>
        </row>
        <row r="215">
          <cell r="A215">
            <v>2.96</v>
          </cell>
          <cell r="B215">
            <v>16.083999999999996</v>
          </cell>
          <cell r="C215">
            <v>14.723999999999998</v>
          </cell>
          <cell r="D215">
            <v>302.50400000000013</v>
          </cell>
          <cell r="E215">
            <v>535.96800000000007</v>
          </cell>
          <cell r="F215">
            <v>17.340000000000007</v>
          </cell>
          <cell r="G215">
            <v>14.340000000000007</v>
          </cell>
          <cell r="H215">
            <v>13.684000000000003</v>
          </cell>
          <cell r="I215">
            <v>9.6640000000000015</v>
          </cell>
          <cell r="J215">
            <v>7.620000000000001</v>
          </cell>
          <cell r="K215">
            <v>8.8420000000000023</v>
          </cell>
        </row>
        <row r="216">
          <cell r="A216">
            <v>2.97</v>
          </cell>
          <cell r="B216">
            <v>16.121333333333332</v>
          </cell>
          <cell r="C216">
            <v>14.761333333333333</v>
          </cell>
          <cell r="D216">
            <v>302.96466666666686</v>
          </cell>
          <cell r="E216">
            <v>536.86599999999999</v>
          </cell>
          <cell r="F216">
            <v>17.388333333333343</v>
          </cell>
          <cell r="G216">
            <v>14.388333333333341</v>
          </cell>
          <cell r="H216">
            <v>13.684666666666669</v>
          </cell>
          <cell r="I216">
            <v>9.6830000000000034</v>
          </cell>
          <cell r="J216">
            <v>7.6383333333333336</v>
          </cell>
          <cell r="K216">
            <v>8.8656666666666695</v>
          </cell>
        </row>
        <row r="217">
          <cell r="A217">
            <v>2.98</v>
          </cell>
          <cell r="B217">
            <v>16.158666666666665</v>
          </cell>
          <cell r="C217">
            <v>14.798666666666666</v>
          </cell>
          <cell r="D217">
            <v>303.42533333333347</v>
          </cell>
          <cell r="E217">
            <v>537.76400000000012</v>
          </cell>
          <cell r="F217">
            <v>17.436666666666675</v>
          </cell>
          <cell r="G217">
            <v>14.436666666666673</v>
          </cell>
          <cell r="H217">
            <v>13.685333333333336</v>
          </cell>
          <cell r="I217">
            <v>9.7020000000000017</v>
          </cell>
          <cell r="J217">
            <v>7.6566666666666663</v>
          </cell>
          <cell r="K217">
            <v>8.8893333333333366</v>
          </cell>
        </row>
        <row r="218">
          <cell r="A218">
            <v>2.99</v>
          </cell>
          <cell r="B218">
            <v>16.195999999999998</v>
          </cell>
          <cell r="C218">
            <v>14.835999999999999</v>
          </cell>
          <cell r="D218">
            <v>303.88600000000019</v>
          </cell>
          <cell r="E218">
            <v>538.66200000000003</v>
          </cell>
          <cell r="F218">
            <v>17.485000000000007</v>
          </cell>
          <cell r="G218">
            <v>14.485000000000008</v>
          </cell>
          <cell r="H218">
            <v>13.686000000000002</v>
          </cell>
          <cell r="I218">
            <v>9.7210000000000036</v>
          </cell>
          <cell r="J218">
            <v>7.6750000000000007</v>
          </cell>
          <cell r="K218">
            <v>8.9130000000000038</v>
          </cell>
        </row>
        <row r="219">
          <cell r="A219">
            <v>3</v>
          </cell>
          <cell r="B219">
            <v>16.233333333333331</v>
          </cell>
          <cell r="C219">
            <v>14.873333333333331</v>
          </cell>
          <cell r="D219">
            <v>304.34666666666681</v>
          </cell>
          <cell r="E219">
            <v>539.56000000000006</v>
          </cell>
          <cell r="F219">
            <v>17.533333333333339</v>
          </cell>
          <cell r="G219">
            <v>14.53333333333334</v>
          </cell>
          <cell r="H219">
            <v>13.686666666666669</v>
          </cell>
          <cell r="I219">
            <v>9.740000000000002</v>
          </cell>
          <cell r="J219">
            <v>7.6933333333333334</v>
          </cell>
          <cell r="K219">
            <v>8.9366666666666692</v>
          </cell>
        </row>
        <row r="220">
          <cell r="A220">
            <v>3.01</v>
          </cell>
          <cell r="B220">
            <v>16.270666666666664</v>
          </cell>
          <cell r="C220">
            <v>14.910666666666664</v>
          </cell>
          <cell r="D220">
            <v>304.80733333333347</v>
          </cell>
          <cell r="E220">
            <v>540.45800000000008</v>
          </cell>
          <cell r="F220">
            <v>17.581666666666671</v>
          </cell>
          <cell r="G220">
            <v>14.581666666666672</v>
          </cell>
          <cell r="H220">
            <v>13.687333333333337</v>
          </cell>
          <cell r="I220">
            <v>9.7590000000000021</v>
          </cell>
          <cell r="J220">
            <v>7.711666666666666</v>
          </cell>
          <cell r="K220">
            <v>8.9603333333333346</v>
          </cell>
        </row>
        <row r="221">
          <cell r="A221">
            <v>3.02</v>
          </cell>
          <cell r="B221">
            <v>16.308</v>
          </cell>
          <cell r="C221">
            <v>14.947999999999999</v>
          </cell>
          <cell r="D221">
            <v>305.26800000000014</v>
          </cell>
          <cell r="E221">
            <v>541.35599999999999</v>
          </cell>
          <cell r="F221">
            <v>17.63000000000001</v>
          </cell>
          <cell r="G221">
            <v>14.630000000000008</v>
          </cell>
          <cell r="H221">
            <v>13.688000000000002</v>
          </cell>
          <cell r="I221">
            <v>9.7780000000000022</v>
          </cell>
          <cell r="J221">
            <v>7.73</v>
          </cell>
          <cell r="K221">
            <v>8.9840000000000018</v>
          </cell>
        </row>
        <row r="222">
          <cell r="A222">
            <v>3.03</v>
          </cell>
          <cell r="B222">
            <v>16.345333333333329</v>
          </cell>
          <cell r="C222">
            <v>14.985333333333331</v>
          </cell>
          <cell r="D222">
            <v>305.72866666666681</v>
          </cell>
          <cell r="E222">
            <v>542.25400000000002</v>
          </cell>
          <cell r="F222">
            <v>17.678333333333342</v>
          </cell>
          <cell r="G222">
            <v>14.67833333333334</v>
          </cell>
          <cell r="H222">
            <v>13.68866666666667</v>
          </cell>
          <cell r="I222">
            <v>9.7970000000000006</v>
          </cell>
          <cell r="J222">
            <v>7.7483333333333331</v>
          </cell>
          <cell r="K222">
            <v>9.0076666666666689</v>
          </cell>
        </row>
        <row r="223">
          <cell r="A223">
            <v>3.04</v>
          </cell>
          <cell r="B223">
            <v>16.382666666666665</v>
          </cell>
          <cell r="C223">
            <v>15.022666666666666</v>
          </cell>
          <cell r="D223">
            <v>306.18933333333348</v>
          </cell>
          <cell r="E223">
            <v>543.15200000000004</v>
          </cell>
          <cell r="F223">
            <v>17.726666666666674</v>
          </cell>
          <cell r="G223">
            <v>14.726666666666674</v>
          </cell>
          <cell r="H223">
            <v>13.689333333333336</v>
          </cell>
          <cell r="I223">
            <v>9.8160000000000025</v>
          </cell>
          <cell r="J223">
            <v>7.7666666666666675</v>
          </cell>
          <cell r="K223">
            <v>9.0313333333333361</v>
          </cell>
        </row>
        <row r="224">
          <cell r="A224">
            <v>3.05</v>
          </cell>
          <cell r="B224">
            <v>16.419999999999995</v>
          </cell>
          <cell r="C224">
            <v>15.059999999999997</v>
          </cell>
          <cell r="D224">
            <v>306.65000000000015</v>
          </cell>
          <cell r="E224">
            <v>544.04999999999995</v>
          </cell>
          <cell r="F224">
            <v>17.775000000000006</v>
          </cell>
          <cell r="G224">
            <v>14.775000000000006</v>
          </cell>
          <cell r="H224">
            <v>13.690000000000003</v>
          </cell>
          <cell r="I224">
            <v>9.8350000000000009</v>
          </cell>
          <cell r="J224">
            <v>7.7850000000000001</v>
          </cell>
          <cell r="K224">
            <v>9.0550000000000015</v>
          </cell>
        </row>
        <row r="225">
          <cell r="A225">
            <v>3.06</v>
          </cell>
          <cell r="B225">
            <v>16.457333333333331</v>
          </cell>
          <cell r="C225">
            <v>15.097333333333331</v>
          </cell>
          <cell r="D225">
            <v>307.11066666666682</v>
          </cell>
          <cell r="E225">
            <v>544.94800000000009</v>
          </cell>
          <cell r="F225">
            <v>17.823333333333341</v>
          </cell>
          <cell r="G225">
            <v>14.823333333333341</v>
          </cell>
          <cell r="H225">
            <v>13.690666666666669</v>
          </cell>
          <cell r="I225">
            <v>9.8540000000000028</v>
          </cell>
          <cell r="J225">
            <v>7.8033333333333346</v>
          </cell>
          <cell r="K225">
            <v>9.0786666666666687</v>
          </cell>
        </row>
        <row r="226">
          <cell r="A226">
            <v>3.07</v>
          </cell>
          <cell r="B226">
            <v>16.494666666666664</v>
          </cell>
          <cell r="C226">
            <v>15.134666666666664</v>
          </cell>
          <cell r="D226">
            <v>307.57133333333348</v>
          </cell>
          <cell r="E226">
            <v>545.846</v>
          </cell>
          <cell r="F226">
            <v>17.871666666666673</v>
          </cell>
          <cell r="G226">
            <v>14.871666666666673</v>
          </cell>
          <cell r="H226">
            <v>13.691333333333336</v>
          </cell>
          <cell r="I226">
            <v>9.8730000000000011</v>
          </cell>
          <cell r="J226">
            <v>7.8216666666666672</v>
          </cell>
          <cell r="K226">
            <v>9.1023333333333341</v>
          </cell>
        </row>
        <row r="227">
          <cell r="A227">
            <v>3.08</v>
          </cell>
          <cell r="B227">
            <v>16.531999999999996</v>
          </cell>
          <cell r="C227">
            <v>15.171999999999999</v>
          </cell>
          <cell r="D227">
            <v>308.03200000000015</v>
          </cell>
          <cell r="E227">
            <v>546.74400000000003</v>
          </cell>
          <cell r="F227">
            <v>17.920000000000009</v>
          </cell>
          <cell r="G227">
            <v>14.920000000000007</v>
          </cell>
          <cell r="H227">
            <v>13.692000000000004</v>
          </cell>
          <cell r="I227">
            <v>9.892000000000003</v>
          </cell>
          <cell r="J227">
            <v>7.84</v>
          </cell>
          <cell r="K227">
            <v>9.1260000000000012</v>
          </cell>
        </row>
        <row r="228">
          <cell r="A228">
            <v>3.09</v>
          </cell>
          <cell r="B228">
            <v>16.569333333333333</v>
          </cell>
          <cell r="C228">
            <v>15.209333333333332</v>
          </cell>
          <cell r="D228">
            <v>308.49266666666682</v>
          </cell>
          <cell r="E228">
            <v>547.64200000000005</v>
          </cell>
          <cell r="F228">
            <v>17.968333333333341</v>
          </cell>
          <cell r="G228">
            <v>14.968333333333341</v>
          </cell>
          <cell r="H228">
            <v>13.692666666666669</v>
          </cell>
          <cell r="I228">
            <v>9.9110000000000014</v>
          </cell>
          <cell r="J228">
            <v>7.8583333333333343</v>
          </cell>
          <cell r="K228">
            <v>9.1496666666666684</v>
          </cell>
        </row>
        <row r="229">
          <cell r="A229">
            <v>3.1</v>
          </cell>
          <cell r="B229">
            <v>16.606666666666666</v>
          </cell>
          <cell r="C229">
            <v>15.246666666666666</v>
          </cell>
          <cell r="D229">
            <v>308.95333333333349</v>
          </cell>
          <cell r="E229">
            <v>548.54000000000008</v>
          </cell>
          <cell r="F229">
            <v>18.016666666666673</v>
          </cell>
          <cell r="G229">
            <v>15.016666666666675</v>
          </cell>
          <cell r="H229">
            <v>13.693333333333337</v>
          </cell>
          <cell r="I229">
            <v>9.9300000000000033</v>
          </cell>
          <cell r="J229">
            <v>7.8766666666666669</v>
          </cell>
          <cell r="K229">
            <v>9.1733333333333356</v>
          </cell>
        </row>
        <row r="230">
          <cell r="A230">
            <v>3.11</v>
          </cell>
          <cell r="B230">
            <v>16.643999999999998</v>
          </cell>
          <cell r="C230">
            <v>15.283999999999997</v>
          </cell>
          <cell r="D230">
            <v>309.41400000000016</v>
          </cell>
          <cell r="E230">
            <v>549.4380000000001</v>
          </cell>
          <cell r="F230">
            <v>18.065000000000005</v>
          </cell>
          <cell r="G230">
            <v>15.065000000000007</v>
          </cell>
          <cell r="H230">
            <v>13.694000000000003</v>
          </cell>
          <cell r="I230">
            <v>9.9490000000000016</v>
          </cell>
          <cell r="J230">
            <v>7.8949999999999996</v>
          </cell>
          <cell r="K230">
            <v>9.1970000000000027</v>
          </cell>
        </row>
        <row r="231">
          <cell r="A231">
            <v>3.12</v>
          </cell>
          <cell r="B231">
            <v>16.681333333333331</v>
          </cell>
          <cell r="C231">
            <v>15.321333333333332</v>
          </cell>
          <cell r="D231">
            <v>309.87466666666683</v>
          </cell>
          <cell r="E231">
            <v>550.33600000000001</v>
          </cell>
          <cell r="F231">
            <v>18.113333333333344</v>
          </cell>
          <cell r="G231">
            <v>15.113333333333342</v>
          </cell>
          <cell r="H231">
            <v>13.69466666666667</v>
          </cell>
          <cell r="I231">
            <v>9.9680000000000035</v>
          </cell>
          <cell r="J231">
            <v>7.913333333333334</v>
          </cell>
          <cell r="K231">
            <v>9.2206666666666699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brugsinfo.dk/public/2/1/8/abonnement_om_landbrugsinf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74C73-7267-4F7F-BA23-D06DC1ECDB26}">
  <sheetPr>
    <pageSetUpPr fitToPage="1"/>
  </sheetPr>
  <dimension ref="A5:G33"/>
  <sheetViews>
    <sheetView showGridLines="0" tabSelected="1" workbookViewId="0">
      <selection activeCell="C13" sqref="C13"/>
    </sheetView>
  </sheetViews>
  <sheetFormatPr defaultColWidth="9.09765625" defaultRowHeight="14.5" x14ac:dyDescent="0.35"/>
  <cols>
    <col min="1" max="1" width="15.59765625" style="183" customWidth="1"/>
    <col min="2" max="2" width="33.8984375" style="183" customWidth="1"/>
    <col min="3" max="3" width="62.296875" style="183" customWidth="1"/>
    <col min="4" max="16384" width="9.09765625" style="183"/>
  </cols>
  <sheetData>
    <row r="5" spans="1:7" x14ac:dyDescent="0.35">
      <c r="B5" s="188" t="s">
        <v>165</v>
      </c>
      <c r="C5" s="184" t="s">
        <v>166</v>
      </c>
    </row>
    <row r="6" spans="1:7" x14ac:dyDescent="0.35">
      <c r="B6" s="219" t="s">
        <v>213</v>
      </c>
      <c r="C6" s="210" t="s">
        <v>215</v>
      </c>
    </row>
    <row r="7" spans="1:7" x14ac:dyDescent="0.35">
      <c r="B7" s="220"/>
      <c r="C7" s="211"/>
    </row>
    <row r="8" spans="1:7" x14ac:dyDescent="0.35">
      <c r="B8" s="184" t="s">
        <v>167</v>
      </c>
      <c r="C8" s="185" t="s">
        <v>214</v>
      </c>
    </row>
    <row r="9" spans="1:7" x14ac:dyDescent="0.35">
      <c r="B9" s="184" t="s">
        <v>168</v>
      </c>
      <c r="C9" s="184" t="s">
        <v>169</v>
      </c>
    </row>
    <row r="10" spans="1:7" x14ac:dyDescent="0.35">
      <c r="B10" s="184" t="s">
        <v>170</v>
      </c>
      <c r="C10" s="184" t="s">
        <v>174</v>
      </c>
    </row>
    <row r="11" spans="1:7" x14ac:dyDescent="0.35">
      <c r="B11" s="184" t="s">
        <v>171</v>
      </c>
      <c r="C11" s="184"/>
    </row>
    <row r="12" spans="1:7" x14ac:dyDescent="0.35">
      <c r="B12" s="186" t="s">
        <v>172</v>
      </c>
      <c r="C12" s="189"/>
      <c r="D12" s="187"/>
    </row>
    <row r="13" spans="1:7" x14ac:dyDescent="0.35">
      <c r="B13" s="184" t="s">
        <v>177</v>
      </c>
      <c r="C13" s="106" t="s">
        <v>173</v>
      </c>
    </row>
    <row r="15" spans="1:7" ht="55" customHeight="1" x14ac:dyDescent="0.35">
      <c r="B15" s="213" t="s">
        <v>176</v>
      </c>
      <c r="C15" s="213"/>
    </row>
    <row r="16" spans="1:7" ht="55" customHeight="1" x14ac:dyDescent="0.35">
      <c r="A16" s="214"/>
      <c r="B16" s="214"/>
      <c r="C16" s="214"/>
      <c r="D16" s="214"/>
      <c r="E16" s="214"/>
      <c r="F16" s="214"/>
      <c r="G16" s="214"/>
    </row>
    <row r="17" spans="2:3" ht="18.5" x14ac:dyDescent="0.45">
      <c r="B17" s="215" t="s">
        <v>193</v>
      </c>
      <c r="C17" s="215"/>
    </row>
    <row r="18" spans="2:3" x14ac:dyDescent="0.35">
      <c r="B18" s="187" t="s">
        <v>194</v>
      </c>
    </row>
    <row r="19" spans="2:3" x14ac:dyDescent="0.35">
      <c r="B19" s="216" t="s">
        <v>216</v>
      </c>
      <c r="C19" s="216"/>
    </row>
    <row r="20" spans="2:3" x14ac:dyDescent="0.35">
      <c r="B20" s="217" t="s">
        <v>211</v>
      </c>
      <c r="C20" s="217"/>
    </row>
    <row r="21" spans="2:3" x14ac:dyDescent="0.35">
      <c r="B21" s="218" t="s">
        <v>175</v>
      </c>
      <c r="C21" s="218"/>
    </row>
    <row r="24" spans="2:3" x14ac:dyDescent="0.35">
      <c r="B24" s="212" t="s">
        <v>217</v>
      </c>
      <c r="C24" s="212"/>
    </row>
    <row r="25" spans="2:3" x14ac:dyDescent="0.35">
      <c r="B25" s="212"/>
      <c r="C25" s="212"/>
    </row>
    <row r="26" spans="2:3" x14ac:dyDescent="0.35">
      <c r="B26" s="212"/>
      <c r="C26" s="212"/>
    </row>
    <row r="27" spans="2:3" x14ac:dyDescent="0.35">
      <c r="B27" s="212"/>
      <c r="C27" s="212"/>
    </row>
    <row r="28" spans="2:3" x14ac:dyDescent="0.35">
      <c r="B28" s="212"/>
      <c r="C28" s="212"/>
    </row>
    <row r="29" spans="2:3" x14ac:dyDescent="0.35">
      <c r="B29" s="212"/>
      <c r="C29" s="212"/>
    </row>
    <row r="30" spans="2:3" x14ac:dyDescent="0.35">
      <c r="B30" s="212"/>
      <c r="C30" s="212"/>
    </row>
    <row r="31" spans="2:3" x14ac:dyDescent="0.35">
      <c r="B31" s="212"/>
      <c r="C31" s="212"/>
    </row>
    <row r="32" spans="2:3" x14ac:dyDescent="0.35">
      <c r="B32" s="212"/>
      <c r="C32" s="212"/>
    </row>
    <row r="33" spans="2:3" x14ac:dyDescent="0.35">
      <c r="B33" s="212"/>
      <c r="C33" s="212"/>
    </row>
  </sheetData>
  <mergeCells count="9">
    <mergeCell ref="C6:C7"/>
    <mergeCell ref="B24:C33"/>
    <mergeCell ref="B15:C15"/>
    <mergeCell ref="A16:G16"/>
    <mergeCell ref="B17:C17"/>
    <mergeCell ref="B19:C19"/>
    <mergeCell ref="B20:C20"/>
    <mergeCell ref="B21:C21"/>
    <mergeCell ref="B6:B7"/>
  </mergeCells>
  <hyperlinks>
    <hyperlink ref="C13" r:id="rId1" xr:uid="{EF400155-D8F9-40D2-AF26-9360A42C6BFA}"/>
  </hyperlinks>
  <pageMargins left="0.7" right="0.7" top="0.75" bottom="0.75" header="0.3" footer="0.3"/>
  <pageSetup paperSize="9" scale="65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2B106-42B9-4566-99A3-DB4AA1057DA5}">
  <sheetPr filterMode="1">
    <pageSetUpPr fitToPage="1"/>
  </sheetPr>
  <dimension ref="A1:T224"/>
  <sheetViews>
    <sheetView showGridLines="0" zoomScale="120" zoomScaleNormal="120" workbookViewId="0">
      <pane ySplit="11" topLeftCell="A12" activePane="bottomLeft" state="frozen"/>
      <selection pane="bottomLeft" activeCell="I144" sqref="I144"/>
    </sheetView>
  </sheetViews>
  <sheetFormatPr defaultRowHeight="11.5" x14ac:dyDescent="0.25"/>
  <cols>
    <col min="1" max="1" width="6.69921875" customWidth="1"/>
    <col min="2" max="2" width="2.69921875" customWidth="1"/>
    <col min="3" max="3" width="69.09765625" bestFit="1" customWidth="1"/>
    <col min="4" max="9" width="16.69921875" customWidth="1"/>
  </cols>
  <sheetData>
    <row r="1" spans="1:20" ht="30" customHeight="1" x14ac:dyDescent="0.45">
      <c r="A1" s="111" t="s">
        <v>117</v>
      </c>
      <c r="C1" s="29" t="s">
        <v>218</v>
      </c>
      <c r="F1" s="8" t="s">
        <v>227</v>
      </c>
      <c r="H1" s="48"/>
      <c r="O1" s="48"/>
      <c r="P1" s="48"/>
      <c r="Q1" s="48"/>
      <c r="R1" s="48"/>
      <c r="S1" s="48"/>
      <c r="T1" s="48"/>
    </row>
    <row r="2" spans="1:20" ht="15.5" x14ac:dyDescent="0.35">
      <c r="A2">
        <v>1</v>
      </c>
      <c r="C2" s="44" t="s">
        <v>65</v>
      </c>
      <c r="F2" s="221" t="s">
        <v>256</v>
      </c>
      <c r="G2" s="221"/>
      <c r="H2" s="221"/>
      <c r="O2" s="48"/>
      <c r="P2" s="48"/>
      <c r="Q2" s="11"/>
      <c r="R2" s="11"/>
      <c r="S2" s="48"/>
      <c r="T2" s="33"/>
    </row>
    <row r="3" spans="1:20" x14ac:dyDescent="0.25">
      <c r="A3">
        <v>1</v>
      </c>
      <c r="C3" t="s">
        <v>67</v>
      </c>
      <c r="D3" s="107">
        <v>8</v>
      </c>
      <c r="E3" s="83" t="s">
        <v>73</v>
      </c>
      <c r="F3" s="48" t="s">
        <v>91</v>
      </c>
      <c r="H3" s="107">
        <v>13.25</v>
      </c>
      <c r="I3" t="s">
        <v>53</v>
      </c>
      <c r="O3" s="48"/>
      <c r="P3" s="48"/>
      <c r="Q3" s="11"/>
      <c r="R3" s="11"/>
      <c r="S3" s="48"/>
      <c r="T3" s="33"/>
    </row>
    <row r="4" spans="1:20" x14ac:dyDescent="0.25">
      <c r="A4">
        <v>1</v>
      </c>
      <c r="C4" t="s">
        <v>141</v>
      </c>
      <c r="D4" s="109">
        <v>4.4999999999999998E-2</v>
      </c>
      <c r="E4" s="62" t="s">
        <v>75</v>
      </c>
      <c r="F4" s="48" t="s">
        <v>89</v>
      </c>
      <c r="H4" s="107">
        <v>277</v>
      </c>
      <c r="I4" t="s">
        <v>228</v>
      </c>
      <c r="O4" s="48"/>
      <c r="P4" s="48"/>
      <c r="Q4" s="11"/>
      <c r="R4" s="11"/>
      <c r="S4" s="48"/>
      <c r="T4" s="33"/>
    </row>
    <row r="5" spans="1:20" x14ac:dyDescent="0.25">
      <c r="A5">
        <v>1</v>
      </c>
      <c r="C5" s="8" t="s">
        <v>8</v>
      </c>
      <c r="E5" s="1" t="s">
        <v>8</v>
      </c>
      <c r="F5" s="48" t="s">
        <v>90</v>
      </c>
      <c r="H5" s="107">
        <v>504</v>
      </c>
      <c r="I5" t="s">
        <v>229</v>
      </c>
      <c r="O5" s="48"/>
      <c r="P5" s="48"/>
      <c r="Q5" s="11"/>
      <c r="R5" s="11"/>
      <c r="S5" s="48"/>
      <c r="T5" s="33"/>
    </row>
    <row r="6" spans="1:20" x14ac:dyDescent="0.25">
      <c r="A6">
        <v>1</v>
      </c>
      <c r="C6" s="8" t="str">
        <f>"Plan valgt: "&amp;C46</f>
        <v>Plan valgt: Delsanering søer men med totalsanering øvrige pladser</v>
      </c>
      <c r="E6" s="1"/>
      <c r="F6" s="48" t="s">
        <v>76</v>
      </c>
      <c r="H6" s="107">
        <v>2.5099999999999998</v>
      </c>
      <c r="I6" t="s">
        <v>93</v>
      </c>
      <c r="O6" s="48"/>
      <c r="P6" s="48"/>
      <c r="Q6" s="11"/>
      <c r="R6" s="11"/>
      <c r="S6" s="48"/>
      <c r="T6" s="33"/>
    </row>
    <row r="7" spans="1:20" x14ac:dyDescent="0.25">
      <c r="A7">
        <v>1</v>
      </c>
      <c r="C7" t="s">
        <v>63</v>
      </c>
      <c r="D7" s="4">
        <f>D125</f>
        <v>-706660.02041873429</v>
      </c>
      <c r="F7" s="48" t="s">
        <v>78</v>
      </c>
      <c r="H7" s="107">
        <v>4.88</v>
      </c>
      <c r="I7" t="s">
        <v>93</v>
      </c>
      <c r="O7" s="48"/>
      <c r="P7" s="48"/>
      <c r="Q7" s="11"/>
      <c r="R7" s="11"/>
      <c r="S7" s="48"/>
      <c r="T7" s="33"/>
    </row>
    <row r="8" spans="1:20" x14ac:dyDescent="0.25">
      <c r="A8">
        <v>1</v>
      </c>
      <c r="C8" t="s">
        <v>179</v>
      </c>
      <c r="D8" s="4">
        <f>SUM(D126:D128)</f>
        <v>258000</v>
      </c>
      <c r="F8" s="48" t="s">
        <v>79</v>
      </c>
      <c r="H8" s="107">
        <v>3.02</v>
      </c>
      <c r="I8" t="s">
        <v>93</v>
      </c>
    </row>
    <row r="9" spans="1:20" x14ac:dyDescent="0.25">
      <c r="A9">
        <v>1</v>
      </c>
      <c r="C9" s="3" t="s">
        <v>178</v>
      </c>
      <c r="D9" s="36">
        <f>D130</f>
        <v>2.7389923272043966</v>
      </c>
      <c r="F9" s="48" t="s">
        <v>80</v>
      </c>
      <c r="H9" s="107">
        <v>2.56</v>
      </c>
      <c r="I9" t="s">
        <v>93</v>
      </c>
    </row>
    <row r="10" spans="1:20" x14ac:dyDescent="0.25">
      <c r="A10">
        <v>1</v>
      </c>
      <c r="C10" s="3" t="str">
        <f>"Nutidsværdi saneringsplan efter "&amp;D3&amp;" år inklusiv rentesats, i mio. kr. "</f>
        <v xml:space="preserve">Nutidsværdi saneringsplan efter 8 år inklusiv rentesats, i mio. kr. </v>
      </c>
      <c r="D10" s="66">
        <f>(D7+IF(D4&gt;0,D129*(1-POWER(1+D4,-D3))/D4,D129*D3))/1000000</f>
        <v>0.99507858495981427</v>
      </c>
    </row>
    <row r="11" spans="1:20" ht="12.75" customHeight="1" thickBot="1" x14ac:dyDescent="0.55000000000000004">
      <c r="A11" s="20">
        <v>1</v>
      </c>
      <c r="B11" s="20"/>
      <c r="C11" s="94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20" ht="12.75" customHeight="1" x14ac:dyDescent="0.5">
      <c r="A12">
        <v>1</v>
      </c>
      <c r="C12" s="26"/>
    </row>
    <row r="13" spans="1:20" x14ac:dyDescent="0.25">
      <c r="A13">
        <v>1</v>
      </c>
      <c r="C13" s="8" t="s">
        <v>257</v>
      </c>
    </row>
    <row r="14" spans="1:20" ht="30" customHeight="1" x14ac:dyDescent="0.25">
      <c r="A14">
        <v>1</v>
      </c>
      <c r="C14" s="222" t="s">
        <v>176</v>
      </c>
      <c r="D14" s="222"/>
      <c r="E14" s="222"/>
      <c r="F14" s="222"/>
      <c r="G14" s="222"/>
      <c r="H14" s="222"/>
      <c r="I14" s="222"/>
    </row>
    <row r="15" spans="1:20" ht="12.75" customHeight="1" x14ac:dyDescent="0.25">
      <c r="A15">
        <v>1</v>
      </c>
      <c r="C15" s="42"/>
      <c r="D15" s="42"/>
      <c r="E15" s="42"/>
      <c r="F15" s="42"/>
    </row>
    <row r="16" spans="1:20" x14ac:dyDescent="0.25">
      <c r="A16">
        <v>1</v>
      </c>
      <c r="D16" s="24"/>
      <c r="E16" s="24"/>
      <c r="F16" s="24"/>
    </row>
    <row r="17" spans="1:7" x14ac:dyDescent="0.25">
      <c r="A17">
        <v>1</v>
      </c>
      <c r="C17" s="8" t="s">
        <v>219</v>
      </c>
      <c r="D17" s="223" t="s">
        <v>8</v>
      </c>
      <c r="E17" s="223"/>
      <c r="F17" s="223"/>
    </row>
    <row r="18" spans="1:7" x14ac:dyDescent="0.25">
      <c r="A18">
        <v>1</v>
      </c>
      <c r="C18" s="107" t="s">
        <v>220</v>
      </c>
    </row>
    <row r="19" spans="1:7" s="48" customFormat="1" ht="12" thickBot="1" x14ac:dyDescent="0.3">
      <c r="A19" s="48">
        <v>1</v>
      </c>
      <c r="C19" s="108" t="s">
        <v>211</v>
      </c>
    </row>
    <row r="20" spans="1:7" ht="12.5" thickTop="1" thickBot="1" x14ac:dyDescent="0.3">
      <c r="A20">
        <v>1</v>
      </c>
      <c r="C20" s="2" t="s">
        <v>180</v>
      </c>
    </row>
    <row r="21" spans="1:7" s="59" customFormat="1" ht="12.5" thickTop="1" thickBot="1" x14ac:dyDescent="0.3">
      <c r="A21" s="59">
        <v>1</v>
      </c>
    </row>
    <row r="22" spans="1:7" ht="25" x14ac:dyDescent="0.5">
      <c r="A22">
        <v>1</v>
      </c>
      <c r="C22" s="190" t="s">
        <v>221</v>
      </c>
      <c r="D22" s="115"/>
      <c r="E22" s="115"/>
      <c r="F22" s="115"/>
      <c r="G22" s="165"/>
    </row>
    <row r="23" spans="1:7" s="59" customFormat="1" ht="23.5" thickBot="1" x14ac:dyDescent="0.3">
      <c r="A23" s="59">
        <v>1</v>
      </c>
      <c r="C23" s="191"/>
      <c r="D23" s="192" t="s">
        <v>23</v>
      </c>
      <c r="E23" s="175" t="s">
        <v>49</v>
      </c>
      <c r="F23" s="175" t="s">
        <v>222</v>
      </c>
      <c r="G23" s="177" t="s">
        <v>223</v>
      </c>
    </row>
    <row r="24" spans="1:7" s="59" customFormat="1" ht="12.5" thickTop="1" thickBot="1" x14ac:dyDescent="0.3">
      <c r="A24" s="59">
        <v>1</v>
      </c>
      <c r="C24" s="117" t="s">
        <v>25</v>
      </c>
      <c r="D24" s="193" t="s">
        <v>7</v>
      </c>
      <c r="E24" s="194" t="s">
        <v>10</v>
      </c>
      <c r="F24" s="110">
        <v>0.75</v>
      </c>
      <c r="G24" s="195">
        <v>1</v>
      </c>
    </row>
    <row r="25" spans="1:7" s="59" customFormat="1" ht="12.5" thickTop="1" thickBot="1" x14ac:dyDescent="0.3">
      <c r="A25" s="59">
        <v>1</v>
      </c>
      <c r="C25" s="117" t="s">
        <v>26</v>
      </c>
      <c r="D25" s="193" t="s">
        <v>7</v>
      </c>
      <c r="E25" s="194" t="s">
        <v>10</v>
      </c>
      <c r="F25" s="110">
        <v>0.05</v>
      </c>
      <c r="G25" s="195">
        <v>1</v>
      </c>
    </row>
    <row r="26" spans="1:7" s="59" customFormat="1" ht="12.5" thickTop="1" thickBot="1" x14ac:dyDescent="0.3">
      <c r="A26" s="59">
        <v>1</v>
      </c>
      <c r="C26" s="121" t="s">
        <v>24</v>
      </c>
      <c r="D26" s="196" t="s">
        <v>7</v>
      </c>
      <c r="E26" s="197" t="s">
        <v>10</v>
      </c>
      <c r="F26" s="198">
        <v>0.85</v>
      </c>
      <c r="G26" s="199">
        <v>1</v>
      </c>
    </row>
    <row r="27" spans="1:7" s="59" customFormat="1" x14ac:dyDescent="0.25">
      <c r="A27" s="59">
        <v>1</v>
      </c>
      <c r="C27"/>
      <c r="D27"/>
      <c r="E27"/>
      <c r="F27"/>
      <c r="G27"/>
    </row>
    <row r="28" spans="1:7" s="93" customFormat="1" ht="12" thickBot="1" x14ac:dyDescent="0.3">
      <c r="A28" s="93">
        <v>1</v>
      </c>
    </row>
    <row r="29" spans="1:7" s="59" customFormat="1" ht="35" hidden="1" thickBot="1" x14ac:dyDescent="0.3">
      <c r="A29" s="59">
        <v>0</v>
      </c>
      <c r="C29" s="1" t="s">
        <v>181</v>
      </c>
      <c r="D29" s="1" t="s">
        <v>38</v>
      </c>
      <c r="E29" s="1" t="s">
        <v>107</v>
      </c>
      <c r="F29" s="1" t="s">
        <v>111</v>
      </c>
      <c r="G29" s="1" t="s">
        <v>109</v>
      </c>
    </row>
    <row r="30" spans="1:7" s="59" customFormat="1" ht="12" hidden="1" thickBot="1" x14ac:dyDescent="0.3">
      <c r="A30" s="59">
        <v>0</v>
      </c>
      <c r="C30" s="59" t="s">
        <v>25</v>
      </c>
      <c r="D30" s="59">
        <v>8</v>
      </c>
      <c r="E30" s="10">
        <v>0.5</v>
      </c>
      <c r="F30" s="4">
        <f>G30*F24</f>
        <v>103200</v>
      </c>
      <c r="G30" s="4">
        <f>IF(D24="Ja",D30*E30*$D$51*$D$48+$D$53*(52/$E$53)*D30*(1-E30),0)</f>
        <v>137600</v>
      </c>
    </row>
    <row r="31" spans="1:7" s="59" customFormat="1" ht="12" hidden="1" thickBot="1" x14ac:dyDescent="0.3">
      <c r="A31" s="59">
        <v>0</v>
      </c>
      <c r="C31" s="59" t="s">
        <v>26</v>
      </c>
      <c r="D31" s="59">
        <f>10</f>
        <v>10</v>
      </c>
      <c r="E31" s="10">
        <v>0.5</v>
      </c>
      <c r="F31" s="4">
        <f>G31*F25</f>
        <v>8600</v>
      </c>
      <c r="G31" s="4">
        <f>IF(D25="Ja",D31*E31*$D$51*$D$48+$D$53*(52/$E$53)*D31*(1-E31),0)</f>
        <v>172000</v>
      </c>
    </row>
    <row r="32" spans="1:7" s="59" customFormat="1" ht="12" hidden="1" thickBot="1" x14ac:dyDescent="0.3">
      <c r="A32" s="59">
        <v>0</v>
      </c>
      <c r="C32" s="59" t="s">
        <v>24</v>
      </c>
      <c r="D32" s="59">
        <v>3</v>
      </c>
      <c r="E32" s="10">
        <v>0</v>
      </c>
      <c r="F32" s="4">
        <f>G32*F26</f>
        <v>0</v>
      </c>
      <c r="G32" s="4">
        <f>IF(D26="Ja",D32*E32*$D$51*$D$48+$D$53*(52/$E$53)*D32*(1-E32),0)</f>
        <v>0</v>
      </c>
    </row>
    <row r="33" spans="1:8" s="59" customFormat="1" ht="12" hidden="1" thickBot="1" x14ac:dyDescent="0.3">
      <c r="A33" s="59">
        <v>0</v>
      </c>
      <c r="C33"/>
      <c r="D33"/>
      <c r="E33"/>
      <c r="F33"/>
      <c r="G33"/>
    </row>
    <row r="34" spans="1:8" ht="12" hidden="1" thickBot="1" x14ac:dyDescent="0.3">
      <c r="A34">
        <v>0</v>
      </c>
      <c r="C34" s="59"/>
      <c r="D34" s="59"/>
      <c r="E34" s="59"/>
      <c r="F34" s="59" t="s">
        <v>8</v>
      </c>
      <c r="G34" s="59"/>
    </row>
    <row r="35" spans="1:8" s="48" customFormat="1" ht="12" hidden="1" thickBot="1" x14ac:dyDescent="0.3">
      <c r="A35" s="48">
        <v>0</v>
      </c>
      <c r="C35" s="59"/>
      <c r="D35" s="59"/>
      <c r="E35" s="59"/>
      <c r="F35" s="59"/>
      <c r="G35" s="59"/>
    </row>
    <row r="36" spans="1:8" s="59" customFormat="1" ht="12" hidden="1" thickBot="1" x14ac:dyDescent="0.3">
      <c r="A36" s="59">
        <v>0</v>
      </c>
      <c r="B36" s="48"/>
      <c r="C36" s="224" t="s">
        <v>108</v>
      </c>
      <c r="D36" s="225"/>
      <c r="E36" s="225"/>
      <c r="F36" s="225"/>
      <c r="G36" s="226"/>
    </row>
    <row r="37" spans="1:8" s="59" customFormat="1" ht="35" hidden="1" thickBot="1" x14ac:dyDescent="0.3">
      <c r="A37" s="59">
        <v>0</v>
      </c>
      <c r="B37" t="s">
        <v>182</v>
      </c>
      <c r="C37" s="117" t="s">
        <v>183</v>
      </c>
      <c r="D37" s="179" t="s">
        <v>33</v>
      </c>
      <c r="E37" s="179" t="s">
        <v>34</v>
      </c>
      <c r="F37" s="179" t="s">
        <v>35</v>
      </c>
      <c r="G37" s="166" t="s">
        <v>182</v>
      </c>
    </row>
    <row r="38" spans="1:8" s="59" customFormat="1" ht="12" hidden="1" thickBot="1" x14ac:dyDescent="0.3">
      <c r="A38" s="59">
        <v>0</v>
      </c>
      <c r="B38">
        <v>1</v>
      </c>
      <c r="C38" s="117" t="s">
        <v>13</v>
      </c>
      <c r="D38" s="50">
        <f>E51+1+G51</f>
        <v>22</v>
      </c>
      <c r="E38" s="50">
        <f>E51+1+E52+G51+G52</f>
        <v>30</v>
      </c>
      <c r="F38" s="50">
        <f>E51+1+E52+E53+G51+G52+G53</f>
        <v>43</v>
      </c>
      <c r="G38" s="166">
        <v>1</v>
      </c>
    </row>
    <row r="39" spans="1:8" s="59" customFormat="1" ht="12" hidden="1" thickBot="1" x14ac:dyDescent="0.3">
      <c r="A39" s="59">
        <v>0</v>
      </c>
      <c r="B39">
        <v>2</v>
      </c>
      <c r="C39" s="117" t="s">
        <v>14</v>
      </c>
      <c r="D39" s="50">
        <f>3+G51</f>
        <v>3</v>
      </c>
      <c r="E39" s="50">
        <f>3+(E51-17)+E52+G51+G52</f>
        <v>15</v>
      </c>
      <c r="F39" s="50">
        <f>3+(E51-17)+E52+E53+G51+G52+G53</f>
        <v>28</v>
      </c>
      <c r="G39" s="166">
        <v>2</v>
      </c>
    </row>
    <row r="40" spans="1:8" s="59" customFormat="1" ht="12" hidden="1" thickBot="1" x14ac:dyDescent="0.3">
      <c r="A40" s="59">
        <v>0</v>
      </c>
      <c r="B40">
        <v>3</v>
      </c>
      <c r="C40" s="117" t="s">
        <v>239</v>
      </c>
      <c r="D40" s="50">
        <f>0+G51</f>
        <v>0</v>
      </c>
      <c r="E40" s="50">
        <f>E52+G51+G52</f>
        <v>8</v>
      </c>
      <c r="F40" s="50">
        <f>E52+E53+G51+G52+G53</f>
        <v>21</v>
      </c>
      <c r="G40" s="166">
        <v>3</v>
      </c>
    </row>
    <row r="41" spans="1:8" s="59" customFormat="1" ht="12" hidden="1" thickBot="1" x14ac:dyDescent="0.3">
      <c r="A41" s="59">
        <v>0</v>
      </c>
      <c r="B41">
        <v>4</v>
      </c>
      <c r="C41" s="121" t="s">
        <v>29</v>
      </c>
      <c r="D41" s="20">
        <v>0</v>
      </c>
      <c r="E41" s="20">
        <f>1+G51+G52</f>
        <v>1</v>
      </c>
      <c r="F41" s="20">
        <f>1+G51+G52+G53</f>
        <v>1</v>
      </c>
      <c r="G41" s="168">
        <v>4</v>
      </c>
    </row>
    <row r="42" spans="1:8" s="59" customFormat="1" ht="12" hidden="1" thickBot="1" x14ac:dyDescent="0.3">
      <c r="A42" s="59">
        <v>0</v>
      </c>
    </row>
    <row r="43" spans="1:8" s="59" customFormat="1" ht="12" hidden="1" thickBot="1" x14ac:dyDescent="0.3">
      <c r="A43" s="59">
        <v>0</v>
      </c>
    </row>
    <row r="44" spans="1:8" s="59" customFormat="1" ht="12" hidden="1" thickBot="1" x14ac:dyDescent="0.3">
      <c r="A44" s="59">
        <v>0</v>
      </c>
      <c r="C44"/>
      <c r="D44"/>
    </row>
    <row r="45" spans="1:8" s="59" customFormat="1" ht="12" thickBot="1" x14ac:dyDescent="0.3">
      <c r="A45" s="59">
        <v>1</v>
      </c>
      <c r="C45" s="200" t="s">
        <v>113</v>
      </c>
      <c r="D45" s="115" t="s">
        <v>116</v>
      </c>
      <c r="E45" s="115"/>
      <c r="F45" s="115"/>
      <c r="G45" s="115"/>
      <c r="H45" s="165"/>
    </row>
    <row r="46" spans="1:8" s="59" customFormat="1" ht="12.5" thickTop="1" thickBot="1" x14ac:dyDescent="0.3">
      <c r="A46" s="59">
        <v>1</v>
      </c>
      <c r="C46" s="201" t="s">
        <v>239</v>
      </c>
      <c r="D46" s="50">
        <f>VLOOKUP(C46,$C$37:$G$41,5,FALSE)</f>
        <v>3</v>
      </c>
      <c r="E46" s="50"/>
      <c r="F46" s="50"/>
      <c r="G46" s="50"/>
      <c r="H46" s="166"/>
    </row>
    <row r="47" spans="1:8" s="59" customFormat="1" ht="12" thickTop="1" x14ac:dyDescent="0.25">
      <c r="A47" s="59">
        <v>1</v>
      </c>
      <c r="C47" s="117"/>
      <c r="D47" s="50"/>
      <c r="E47" s="50"/>
      <c r="F47" s="50"/>
      <c r="G47" s="50"/>
      <c r="H47" s="166"/>
    </row>
    <row r="48" spans="1:8" x14ac:dyDescent="0.25">
      <c r="A48">
        <v>1</v>
      </c>
      <c r="C48" s="117" t="s">
        <v>30</v>
      </c>
      <c r="D48" s="119">
        <v>34.4</v>
      </c>
      <c r="E48" s="50"/>
      <c r="F48" s="50"/>
      <c r="G48" s="50"/>
      <c r="H48" s="166"/>
    </row>
    <row r="49" spans="1:15" s="93" customFormat="1" x14ac:dyDescent="0.25">
      <c r="A49" s="93">
        <v>1</v>
      </c>
      <c r="C49" s="117"/>
      <c r="D49" s="50"/>
      <c r="E49" s="50"/>
      <c r="F49" s="50"/>
      <c r="G49" s="50"/>
      <c r="H49" s="166"/>
    </row>
    <row r="50" spans="1:15" ht="34.5" x14ac:dyDescent="0.25">
      <c r="A50">
        <v>1</v>
      </c>
      <c r="C50" s="202"/>
      <c r="D50" s="64" t="s">
        <v>11</v>
      </c>
      <c r="E50" s="64" t="s">
        <v>224</v>
      </c>
      <c r="F50" s="64" t="s">
        <v>21</v>
      </c>
      <c r="G50" s="64" t="str">
        <f>"+/- tabte uger til alle forslag"</f>
        <v>+/- tabte uger til alle forslag</v>
      </c>
      <c r="H50" s="203" t="s">
        <v>184</v>
      </c>
      <c r="I50" s="1"/>
      <c r="J50" s="1"/>
    </row>
    <row r="51" spans="1:15" x14ac:dyDescent="0.25">
      <c r="A51">
        <v>1</v>
      </c>
      <c r="B51" s="6"/>
      <c r="C51" s="202" t="s">
        <v>0</v>
      </c>
      <c r="D51" s="119">
        <v>1000</v>
      </c>
      <c r="E51" s="119">
        <v>21</v>
      </c>
      <c r="F51" s="47">
        <f>IF(D46=1,D38,IF(D46=2,D39,IF(D46=3,D40,D41)))</f>
        <v>0</v>
      </c>
      <c r="G51" s="119">
        <v>0</v>
      </c>
      <c r="H51" s="204">
        <v>4</v>
      </c>
    </row>
    <row r="52" spans="1:15" x14ac:dyDescent="0.25">
      <c r="A52">
        <v>1</v>
      </c>
      <c r="B52" s="6"/>
      <c r="C52" s="202" t="s">
        <v>1</v>
      </c>
      <c r="D52" s="205">
        <f>D51*D48/(52/E52)</f>
        <v>5292.3076923076924</v>
      </c>
      <c r="E52" s="119">
        <v>8</v>
      </c>
      <c r="F52" s="47">
        <f>IF(D46=1,E38,IF(D46=2,E39,IF(D46=3,E40,E41)))</f>
        <v>8</v>
      </c>
      <c r="G52" s="119">
        <v>0</v>
      </c>
      <c r="H52" s="204">
        <v>0.3</v>
      </c>
      <c r="J52" s="59"/>
      <c r="K52" s="59"/>
    </row>
    <row r="53" spans="1:15" x14ac:dyDescent="0.25">
      <c r="A53">
        <v>1</v>
      </c>
      <c r="B53" s="6"/>
      <c r="C53" s="202" t="s">
        <v>2</v>
      </c>
      <c r="D53" s="119">
        <f>0*D51*34*0.97*0.97/4</f>
        <v>0</v>
      </c>
      <c r="E53" s="119">
        <v>13</v>
      </c>
      <c r="F53" s="47">
        <f>IF(D46=1,F38,IF(D46=2,F39,IF(D46=3,F40,F41)))</f>
        <v>21</v>
      </c>
      <c r="G53" s="119">
        <v>0</v>
      </c>
      <c r="H53" s="204">
        <v>0.65</v>
      </c>
      <c r="J53" s="59"/>
      <c r="K53" s="59"/>
    </row>
    <row r="54" spans="1:15" x14ac:dyDescent="0.25">
      <c r="A54">
        <v>1</v>
      </c>
      <c r="C54" s="117"/>
      <c r="D54" s="50"/>
      <c r="E54" s="50"/>
      <c r="F54" s="50"/>
      <c r="G54" s="50"/>
      <c r="H54" s="166"/>
      <c r="I54" t="s">
        <v>8</v>
      </c>
    </row>
    <row r="55" spans="1:15" s="48" customFormat="1" hidden="1" x14ac:dyDescent="0.25">
      <c r="A55" s="48">
        <v>0</v>
      </c>
      <c r="C55" s="117"/>
      <c r="D55" s="50"/>
      <c r="E55" s="50"/>
      <c r="F55" s="50"/>
      <c r="G55" s="50"/>
      <c r="H55" s="166"/>
    </row>
    <row r="56" spans="1:15" s="48" customFormat="1" x14ac:dyDescent="0.25">
      <c r="A56" s="48">
        <v>1</v>
      </c>
      <c r="C56" s="170" t="s">
        <v>225</v>
      </c>
      <c r="D56" s="50"/>
      <c r="E56" s="50"/>
      <c r="F56" s="50"/>
      <c r="G56" s="50"/>
      <c r="H56" s="166"/>
    </row>
    <row r="57" spans="1:15" x14ac:dyDescent="0.25">
      <c r="A57">
        <v>1</v>
      </c>
      <c r="C57" s="202"/>
      <c r="D57" s="60" t="s">
        <v>77</v>
      </c>
      <c r="E57" s="60" t="s">
        <v>15</v>
      </c>
      <c r="F57" s="60" t="s">
        <v>16</v>
      </c>
      <c r="G57" s="50"/>
      <c r="H57" s="166"/>
      <c r="M57" s="223"/>
      <c r="N57" s="223"/>
      <c r="O57" s="223"/>
    </row>
    <row r="58" spans="1:15" s="48" customFormat="1" x14ac:dyDescent="0.25">
      <c r="A58" s="48">
        <v>1</v>
      </c>
      <c r="C58" s="202" t="s">
        <v>56</v>
      </c>
      <c r="D58" s="47"/>
      <c r="E58" s="47"/>
      <c r="F58" s="119">
        <f>86.5</f>
        <v>86.5</v>
      </c>
      <c r="G58" s="50"/>
      <c r="H58" s="166"/>
      <c r="M58" s="46"/>
      <c r="N58" s="46"/>
      <c r="O58" s="46"/>
    </row>
    <row r="59" spans="1:15" s="48" customFormat="1" x14ac:dyDescent="0.25">
      <c r="A59" s="48">
        <v>1</v>
      </c>
      <c r="C59" s="202" t="s">
        <v>96</v>
      </c>
      <c r="D59" s="47"/>
      <c r="E59" s="161">
        <f>D60</f>
        <v>7</v>
      </c>
      <c r="F59" s="161">
        <f>E60</f>
        <v>31</v>
      </c>
      <c r="G59" s="50"/>
      <c r="H59" s="166"/>
      <c r="M59" s="46"/>
      <c r="N59" s="46"/>
      <c r="O59" s="46"/>
    </row>
    <row r="60" spans="1:15" s="48" customFormat="1" x14ac:dyDescent="0.25">
      <c r="A60" s="48">
        <v>1</v>
      </c>
      <c r="C60" s="202" t="s">
        <v>97</v>
      </c>
      <c r="D60" s="119">
        <v>7</v>
      </c>
      <c r="E60" s="119">
        <v>31</v>
      </c>
      <c r="F60" s="54">
        <f>F58*1.31</f>
        <v>113.315</v>
      </c>
      <c r="G60" s="50"/>
      <c r="H60" s="206" t="s">
        <v>8</v>
      </c>
      <c r="M60" s="46"/>
      <c r="N60" s="46"/>
      <c r="O60" s="46"/>
    </row>
    <row r="61" spans="1:15" s="48" customFormat="1" x14ac:dyDescent="0.25">
      <c r="A61" s="48">
        <v>1</v>
      </c>
      <c r="C61" s="202" t="s">
        <v>88</v>
      </c>
      <c r="D61" s="119">
        <v>1536</v>
      </c>
      <c r="E61" s="47"/>
      <c r="F61" s="47"/>
      <c r="G61" s="50"/>
      <c r="H61" s="166"/>
      <c r="M61" s="46"/>
      <c r="N61" s="46"/>
      <c r="O61" s="46"/>
    </row>
    <row r="62" spans="1:15" s="48" customFormat="1" x14ac:dyDescent="0.25">
      <c r="A62" s="48">
        <v>1</v>
      </c>
      <c r="C62" s="202" t="s">
        <v>71</v>
      </c>
      <c r="D62" s="47"/>
      <c r="E62" s="119">
        <v>1.81</v>
      </c>
      <c r="F62" s="119">
        <v>2.61</v>
      </c>
      <c r="G62" s="50"/>
      <c r="H62" s="166"/>
      <c r="M62" s="46"/>
      <c r="N62" s="46"/>
      <c r="O62" s="46"/>
    </row>
    <row r="63" spans="1:15" s="48" customFormat="1" x14ac:dyDescent="0.25">
      <c r="A63" s="48">
        <v>1</v>
      </c>
      <c r="C63" s="202" t="s">
        <v>159</v>
      </c>
      <c r="D63" s="119">
        <v>2.61</v>
      </c>
      <c r="E63" s="47"/>
      <c r="F63" s="47"/>
      <c r="G63" s="50"/>
      <c r="H63" s="166"/>
      <c r="M63" s="46"/>
      <c r="N63" s="46"/>
      <c r="O63" s="46"/>
    </row>
    <row r="64" spans="1:15" s="48" customFormat="1" x14ac:dyDescent="0.25">
      <c r="A64" s="48">
        <v>1</v>
      </c>
      <c r="C64" s="202" t="s">
        <v>230</v>
      </c>
      <c r="D64" s="47"/>
      <c r="E64" s="119">
        <f>H7+0.1</f>
        <v>4.9799999999999995</v>
      </c>
      <c r="F64" s="47"/>
      <c r="G64" s="50"/>
      <c r="H64" s="166"/>
      <c r="M64" s="46"/>
      <c r="N64" s="46"/>
      <c r="O64" s="46"/>
    </row>
    <row r="65" spans="1:15" s="48" customFormat="1" x14ac:dyDescent="0.25">
      <c r="A65" s="48">
        <v>1</v>
      </c>
      <c r="C65" s="202" t="s">
        <v>231</v>
      </c>
      <c r="D65" s="47"/>
      <c r="E65" s="119">
        <f>H8+0.1</f>
        <v>3.12</v>
      </c>
      <c r="F65" s="47"/>
      <c r="G65" s="50"/>
      <c r="H65" s="166"/>
      <c r="M65" s="46"/>
      <c r="N65" s="46"/>
      <c r="O65" s="46"/>
    </row>
    <row r="66" spans="1:15" s="48" customFormat="1" x14ac:dyDescent="0.25">
      <c r="A66" s="48">
        <v>1</v>
      </c>
      <c r="C66" s="202" t="s">
        <v>157</v>
      </c>
      <c r="D66" s="47"/>
      <c r="E66" s="47"/>
      <c r="F66" s="119">
        <f>H9+0.1</f>
        <v>2.66</v>
      </c>
      <c r="G66" s="50"/>
      <c r="H66" s="166"/>
      <c r="M66" s="46"/>
      <c r="N66" s="46"/>
      <c r="O66" s="46"/>
    </row>
    <row r="67" spans="1:15" s="48" customFormat="1" x14ac:dyDescent="0.25">
      <c r="A67" s="48">
        <v>1</v>
      </c>
      <c r="C67" s="207" t="s">
        <v>81</v>
      </c>
      <c r="D67" s="47"/>
      <c r="E67" s="110">
        <v>0.03</v>
      </c>
      <c r="F67" s="110">
        <v>0.03</v>
      </c>
      <c r="G67" s="50"/>
      <c r="H67" s="166"/>
      <c r="M67" s="46"/>
      <c r="N67" s="46"/>
      <c r="O67" s="46"/>
    </row>
    <row r="68" spans="1:15" s="48" customFormat="1" x14ac:dyDescent="0.25">
      <c r="A68" s="48">
        <v>1</v>
      </c>
      <c r="C68" s="117"/>
      <c r="D68" s="50"/>
      <c r="E68" s="50"/>
      <c r="F68" s="50"/>
      <c r="G68" s="50"/>
      <c r="H68" s="166"/>
      <c r="M68" s="46"/>
      <c r="N68" s="46"/>
      <c r="O68" s="46"/>
    </row>
    <row r="69" spans="1:15" s="48" customFormat="1" x14ac:dyDescent="0.25">
      <c r="A69" s="48">
        <v>1</v>
      </c>
      <c r="C69" s="151"/>
      <c r="D69" s="50"/>
      <c r="E69" s="50"/>
      <c r="F69" s="50"/>
      <c r="G69" s="50"/>
      <c r="H69" s="166"/>
      <c r="M69" s="46"/>
      <c r="N69" s="46"/>
      <c r="O69" s="46"/>
    </row>
    <row r="70" spans="1:15" s="48" customFormat="1" x14ac:dyDescent="0.25">
      <c r="A70" s="48">
        <v>1</v>
      </c>
      <c r="C70" s="208" t="s">
        <v>226</v>
      </c>
      <c r="D70" s="38" t="s">
        <v>77</v>
      </c>
      <c r="E70" s="38" t="s">
        <v>15</v>
      </c>
      <c r="F70" s="52" t="s">
        <v>16</v>
      </c>
      <c r="G70" s="50"/>
      <c r="H70" s="166"/>
      <c r="M70" s="46"/>
      <c r="N70" s="46"/>
      <c r="O70" s="46"/>
    </row>
    <row r="71" spans="1:15" s="48" customFormat="1" x14ac:dyDescent="0.25">
      <c r="A71" s="48">
        <v>1</v>
      </c>
      <c r="C71" s="151" t="s">
        <v>99</v>
      </c>
      <c r="D71" s="51">
        <f>(VLOOKUP(D60,$C$216:$H$222,4,TRUE)-(VLOOKUP(D60,$C$216:$H$222,2,TRUE)-D60)*VLOOKUP(D60,$C$216:$H$222,5,TRUE))*D48+D48*D72</f>
        <v>9528.7999999999993</v>
      </c>
      <c r="E71" s="51">
        <f>VLOOKUP(E60,$C$216:$H$222,4,TRUE)-(VLOOKUP(E60,$C$216:$H$222,2,TRUE)-E60)*VLOOKUP(E60,$C$216:$H$222,5,TRUE)+E72</f>
        <v>511.77090190915078</v>
      </c>
      <c r="F71" s="51">
        <f>(H3+(0.12+1.3))*F58+F72</f>
        <v>1268.9549999999999</v>
      </c>
      <c r="G71" s="50"/>
      <c r="H71" s="166" t="s">
        <v>8</v>
      </c>
      <c r="M71" s="46"/>
      <c r="N71" s="46"/>
      <c r="O71" s="46"/>
    </row>
    <row r="72" spans="1:15" s="48" customFormat="1" x14ac:dyDescent="0.25">
      <c r="A72" s="48">
        <v>1</v>
      </c>
      <c r="C72" s="151" t="str">
        <f>" +/- egenkorrektion per grise salg"</f>
        <v xml:space="preserve"> +/- egenkorrektion per grise salg</v>
      </c>
      <c r="D72" s="119">
        <v>0</v>
      </c>
      <c r="E72" s="119">
        <v>0</v>
      </c>
      <c r="F72" s="119">
        <v>0</v>
      </c>
      <c r="G72" s="50"/>
      <c r="H72" s="166"/>
      <c r="M72" s="46"/>
      <c r="N72" s="46"/>
      <c r="O72" s="46"/>
    </row>
    <row r="73" spans="1:15" s="48" customFormat="1" x14ac:dyDescent="0.25">
      <c r="A73" s="48">
        <v>1</v>
      </c>
      <c r="C73" s="151" t="s">
        <v>102</v>
      </c>
      <c r="D73" s="55"/>
      <c r="E73" s="55">
        <f>VLOOKUP(E59,$C$216:$H$222,4,TRUE)-(VLOOKUP(E59,$C$216:$H$222,2,TRUE)-E59)*VLOOKUP(E59,$C$216:$H$222,5,TRUE)</f>
        <v>277</v>
      </c>
      <c r="F73" s="55">
        <f>VLOOKUP(F59,$C$216:$H$222,4,TRUE)-(VLOOKUP(F59,$C$216:$H$222,2,TRUE)-F59)*VLOOKUP(F59,$C$216:$H$222,5,TRUE)</f>
        <v>511.77090190915078</v>
      </c>
      <c r="G73" s="50"/>
      <c r="H73" s="166"/>
      <c r="M73" s="46"/>
      <c r="N73" s="46"/>
      <c r="O73" s="46"/>
    </row>
    <row r="74" spans="1:15" s="48" customFormat="1" x14ac:dyDescent="0.25">
      <c r="A74" s="48">
        <v>1</v>
      </c>
      <c r="C74" s="151" t="str">
        <f>" +/- egenkorrektion tillæg per gris køb"</f>
        <v xml:space="preserve"> +/- egenkorrektion tillæg per gris køb</v>
      </c>
      <c r="D74" s="55" t="s">
        <v>8</v>
      </c>
      <c r="E74" s="161">
        <f>D72</f>
        <v>0</v>
      </c>
      <c r="F74" s="161">
        <f>E72</f>
        <v>0</v>
      </c>
      <c r="G74" s="50"/>
      <c r="H74" s="166"/>
      <c r="M74" s="46"/>
      <c r="N74" s="46"/>
      <c r="O74" s="46"/>
    </row>
    <row r="75" spans="1:15" s="48" customFormat="1" x14ac:dyDescent="0.25">
      <c r="A75" s="48">
        <v>1</v>
      </c>
      <c r="C75" s="151" t="s">
        <v>103</v>
      </c>
      <c r="D75" s="55"/>
      <c r="E75" s="55">
        <f>SUM(E73:E74)/(1-E67)</f>
        <v>285.56701030927837</v>
      </c>
      <c r="F75" s="55">
        <f>SUM(F73:F74)/(1-F67)</f>
        <v>527.59886794757813</v>
      </c>
      <c r="G75" s="50"/>
      <c r="H75" s="166"/>
      <c r="M75" s="46"/>
      <c r="N75" s="46"/>
      <c r="O75" s="46"/>
    </row>
    <row r="76" spans="1:15" s="48" customFormat="1" x14ac:dyDescent="0.25">
      <c r="A76" s="48">
        <v>1</v>
      </c>
      <c r="C76" s="151" t="s">
        <v>104</v>
      </c>
      <c r="D76" s="51">
        <f>D61*D63</f>
        <v>4008.96</v>
      </c>
      <c r="E76" s="51">
        <f>(IF((E60-E59)*E62&gt;7,((E60-E59)*E62-7)*E65+7*E64,(E60-E59)*E62*E64))/(1-E67/2)</f>
        <v>150.81502538071067</v>
      </c>
      <c r="F76" s="51">
        <f>((F60-F59)*F62*F66)/(1-F67/2)</f>
        <v>580.18286192893402</v>
      </c>
      <c r="G76" s="50"/>
      <c r="H76" s="166"/>
      <c r="M76" s="46"/>
      <c r="N76" s="46"/>
      <c r="O76" s="46"/>
    </row>
    <row r="77" spans="1:15" s="48" customFormat="1" x14ac:dyDescent="0.25">
      <c r="A77" s="48">
        <v>1</v>
      </c>
      <c r="C77" s="151" t="s">
        <v>232</v>
      </c>
      <c r="D77" s="119">
        <f>1110+125+500</f>
        <v>1735</v>
      </c>
      <c r="E77" s="119">
        <v>12</v>
      </c>
      <c r="F77" s="119">
        <v>17</v>
      </c>
      <c r="G77" s="50"/>
      <c r="H77" s="166"/>
      <c r="M77" s="46"/>
      <c r="N77" s="46"/>
      <c r="O77" s="46"/>
    </row>
    <row r="78" spans="1:15" s="48" customFormat="1" ht="12" thickBot="1" x14ac:dyDescent="0.3">
      <c r="A78" s="48">
        <v>1</v>
      </c>
      <c r="C78" s="209" t="s">
        <v>101</v>
      </c>
      <c r="D78" s="63">
        <f>D71-SUM(D76:D77)</f>
        <v>3784.8399999999992</v>
      </c>
      <c r="E78" s="63">
        <f>E71-SUM(E75:E77)</f>
        <v>63.388866219161741</v>
      </c>
      <c r="F78" s="63">
        <f>F71-SUM(F75:F77)</f>
        <v>144.17327012348778</v>
      </c>
      <c r="G78" s="50"/>
      <c r="H78" s="166"/>
      <c r="M78" s="46"/>
      <c r="N78" s="46"/>
      <c r="O78" s="46"/>
    </row>
    <row r="79" spans="1:15" s="48" customFormat="1" ht="12.5" thickTop="1" thickBot="1" x14ac:dyDescent="0.3">
      <c r="A79" s="48">
        <v>1</v>
      </c>
      <c r="C79" s="121"/>
      <c r="D79" s="20"/>
      <c r="E79" s="20"/>
      <c r="F79" s="20"/>
      <c r="G79" s="20"/>
      <c r="H79" s="168"/>
      <c r="M79" s="46"/>
      <c r="N79" s="46"/>
      <c r="O79" s="46"/>
    </row>
    <row r="80" spans="1:15" s="48" customFormat="1" x14ac:dyDescent="0.25">
      <c r="A80" s="48">
        <v>1</v>
      </c>
      <c r="M80" s="46"/>
      <c r="N80" s="46"/>
      <c r="O80" s="46"/>
    </row>
    <row r="81" spans="1:15" x14ac:dyDescent="0.25">
      <c r="A81">
        <v>1</v>
      </c>
      <c r="C81" s="8" t="s">
        <v>114</v>
      </c>
      <c r="H81" s="5"/>
      <c r="I81" s="5"/>
      <c r="M81" s="5"/>
      <c r="N81" s="5"/>
      <c r="O81" s="5"/>
    </row>
    <row r="82" spans="1:15" s="59" customFormat="1" ht="12" thickBot="1" x14ac:dyDescent="0.3">
      <c r="A82" s="59">
        <v>1</v>
      </c>
      <c r="H82" s="5"/>
      <c r="I82" s="5"/>
      <c r="M82" s="5"/>
      <c r="N82" s="5"/>
      <c r="O82" s="5"/>
    </row>
    <row r="83" spans="1:15" ht="12.5" thickTop="1" thickBot="1" x14ac:dyDescent="0.3">
      <c r="A83">
        <v>1</v>
      </c>
      <c r="C83" t="s">
        <v>19</v>
      </c>
      <c r="D83" s="2" t="s">
        <v>7</v>
      </c>
    </row>
    <row r="84" spans="1:15" ht="12" thickTop="1" x14ac:dyDescent="0.25">
      <c r="A84">
        <v>1</v>
      </c>
      <c r="C84" t="s">
        <v>185</v>
      </c>
      <c r="D84" s="107">
        <f>(600*IF(D83="Ja",0.5,1)+300)*(0.5)</f>
        <v>300</v>
      </c>
      <c r="E84" t="s">
        <v>4</v>
      </c>
      <c r="F84" t="s">
        <v>8</v>
      </c>
    </row>
    <row r="85" spans="1:15" x14ac:dyDescent="0.25">
      <c r="A85">
        <v>1</v>
      </c>
      <c r="C85" t="s">
        <v>258</v>
      </c>
      <c r="D85" s="107">
        <v>300</v>
      </c>
      <c r="E85" t="s">
        <v>20</v>
      </c>
      <c r="H85" s="12"/>
    </row>
    <row r="86" spans="1:15" s="89" customFormat="1" x14ac:dyDescent="0.25">
      <c r="A86" s="89">
        <v>1</v>
      </c>
      <c r="C86" s="61" t="s">
        <v>186</v>
      </c>
      <c r="D86" s="107">
        <v>256</v>
      </c>
      <c r="E86" t="s">
        <v>187</v>
      </c>
      <c r="H86" s="92"/>
    </row>
    <row r="87" spans="1:15" s="89" customFormat="1" ht="12.5" x14ac:dyDescent="0.25">
      <c r="A87" s="89">
        <v>1</v>
      </c>
      <c r="C87" s="23" t="s">
        <v>45</v>
      </c>
      <c r="D87">
        <v>29</v>
      </c>
      <c r="E87" t="s">
        <v>46</v>
      </c>
      <c r="H87" s="92"/>
    </row>
    <row r="88" spans="1:15" s="89" customFormat="1" x14ac:dyDescent="0.25">
      <c r="A88" s="89">
        <v>1</v>
      </c>
      <c r="C88" t="s">
        <v>106</v>
      </c>
      <c r="D88" s="107">
        <v>90</v>
      </c>
      <c r="E88" t="s">
        <v>32</v>
      </c>
      <c r="H88" s="92"/>
    </row>
    <row r="89" spans="1:15" s="59" customFormat="1" x14ac:dyDescent="0.25">
      <c r="A89" s="89">
        <v>1</v>
      </c>
      <c r="C89" t="s">
        <v>36</v>
      </c>
      <c r="D89" s="112">
        <v>20000</v>
      </c>
      <c r="E89"/>
      <c r="H89" s="12"/>
    </row>
    <row r="90" spans="1:15" s="89" customFormat="1" x14ac:dyDescent="0.25">
      <c r="A90" s="89">
        <v>1</v>
      </c>
      <c r="C90" t="s">
        <v>37</v>
      </c>
      <c r="D90" s="112">
        <f>15000+80*84</f>
        <v>21720</v>
      </c>
      <c r="E90"/>
      <c r="H90" s="92"/>
    </row>
    <row r="91" spans="1:15" s="89" customFormat="1" ht="12" thickBot="1" x14ac:dyDescent="0.3">
      <c r="A91" s="89">
        <v>1</v>
      </c>
      <c r="H91" s="92"/>
    </row>
    <row r="92" spans="1:15" s="59" customFormat="1" ht="12" thickBot="1" x14ac:dyDescent="0.3">
      <c r="A92" s="89">
        <v>1</v>
      </c>
      <c r="C92" s="164" t="s">
        <v>148</v>
      </c>
      <c r="D92" s="115"/>
      <c r="E92" s="115"/>
      <c r="F92" s="115"/>
      <c r="G92" s="115"/>
      <c r="H92" s="174"/>
      <c r="I92" s="165"/>
    </row>
    <row r="93" spans="1:15" s="59" customFormat="1" ht="12.5" thickTop="1" thickBot="1" x14ac:dyDescent="0.3">
      <c r="A93" s="89">
        <v>1</v>
      </c>
      <c r="C93" s="151" t="s">
        <v>212</v>
      </c>
      <c r="D93" s="128" t="s">
        <v>10</v>
      </c>
      <c r="E93" s="50"/>
      <c r="F93" s="50"/>
      <c r="G93" s="50"/>
      <c r="H93" s="129"/>
      <c r="I93" s="166"/>
    </row>
    <row r="94" spans="1:15" s="59" customFormat="1" ht="35" thickTop="1" x14ac:dyDescent="0.25">
      <c r="A94" s="89">
        <v>1</v>
      </c>
      <c r="C94" s="151"/>
      <c r="D94" s="175" t="s">
        <v>118</v>
      </c>
      <c r="E94" s="175" t="s">
        <v>145</v>
      </c>
      <c r="F94" s="175" t="s">
        <v>146</v>
      </c>
      <c r="G94" s="175" t="s">
        <v>119</v>
      </c>
      <c r="H94" s="176" t="s">
        <v>233</v>
      </c>
      <c r="I94" s="177" t="s">
        <v>147</v>
      </c>
    </row>
    <row r="95" spans="1:15" s="59" customFormat="1" x14ac:dyDescent="0.25">
      <c r="A95" s="89">
        <v>1</v>
      </c>
      <c r="C95" s="151" t="s">
        <v>27</v>
      </c>
      <c r="D95" s="178">
        <f>D51*H51+D52*H52+D53*H53</f>
        <v>5587.6923076923076</v>
      </c>
      <c r="E95" s="50">
        <f>1.75*2+IF(D93="Ja",2)</f>
        <v>3.5</v>
      </c>
      <c r="F95" s="39">
        <f>D95*E95/60</f>
        <v>325.94871794871796</v>
      </c>
      <c r="G95" s="50">
        <v>0</v>
      </c>
      <c r="H95" s="80">
        <f>IF(D93="Ja",5,4*0.4*(15*2.6)/115)</f>
        <v>0.54260869565217396</v>
      </c>
      <c r="I95" s="152">
        <f>G95+H95*D95</f>
        <v>3031.9304347826087</v>
      </c>
    </row>
    <row r="96" spans="1:15" s="59" customFormat="1" ht="12" thickBot="1" x14ac:dyDescent="0.3">
      <c r="A96" s="89">
        <v>1</v>
      </c>
      <c r="C96" s="153" t="s">
        <v>3</v>
      </c>
      <c r="D96" s="122">
        <f>D51*H51*0.5+D52*H52+D53*H53</f>
        <v>3587.6923076923076</v>
      </c>
      <c r="E96" s="20">
        <v>3.5</v>
      </c>
      <c r="F96" s="154">
        <f>D96*E96/60</f>
        <v>209.28205128205127</v>
      </c>
      <c r="G96" s="20">
        <v>0</v>
      </c>
      <c r="H96" s="155">
        <f>4*0.4*(15*2.6)/115</f>
        <v>0.54260869565217396</v>
      </c>
      <c r="I96" s="156">
        <f>G96+H96*D96</f>
        <v>1946.7130434782609</v>
      </c>
    </row>
    <row r="97" spans="1:11" s="59" customFormat="1" x14ac:dyDescent="0.25">
      <c r="A97" s="89">
        <v>1</v>
      </c>
      <c r="C97" s="41"/>
      <c r="D97" s="11"/>
      <c r="H97" s="12"/>
    </row>
    <row r="98" spans="1:11" x14ac:dyDescent="0.25">
      <c r="A98">
        <v>1</v>
      </c>
    </row>
    <row r="99" spans="1:11" x14ac:dyDescent="0.25">
      <c r="A99">
        <v>1</v>
      </c>
      <c r="C99" s="8" t="s">
        <v>115</v>
      </c>
    </row>
    <row r="100" spans="1:11" x14ac:dyDescent="0.25">
      <c r="A100">
        <v>1</v>
      </c>
      <c r="C100" t="s">
        <v>203</v>
      </c>
      <c r="D100" s="4">
        <f>SUM(G30:G32)</f>
        <v>309600</v>
      </c>
      <c r="E100" t="s">
        <v>204</v>
      </c>
    </row>
    <row r="101" spans="1:11" x14ac:dyDescent="0.25">
      <c r="A101">
        <v>1</v>
      </c>
      <c r="C101" t="s">
        <v>112</v>
      </c>
      <c r="D101" s="4">
        <f>SUM(F30:F32)</f>
        <v>111800</v>
      </c>
    </row>
    <row r="102" spans="1:11" x14ac:dyDescent="0.25">
      <c r="A102">
        <v>1</v>
      </c>
      <c r="C102" t="s">
        <v>188</v>
      </c>
      <c r="D102" s="107">
        <f>5</f>
        <v>5</v>
      </c>
      <c r="E102" t="s">
        <v>234</v>
      </c>
    </row>
    <row r="103" spans="1:11" x14ac:dyDescent="0.25">
      <c r="A103">
        <v>1</v>
      </c>
      <c r="C103" t="s">
        <v>121</v>
      </c>
      <c r="D103" s="107">
        <v>0</v>
      </c>
      <c r="E103" t="s">
        <v>198</v>
      </c>
      <c r="J103" t="s">
        <v>8</v>
      </c>
      <c r="K103" t="s">
        <v>8</v>
      </c>
    </row>
    <row r="104" spans="1:11" x14ac:dyDescent="0.25">
      <c r="A104" s="59">
        <v>1</v>
      </c>
    </row>
    <row r="105" spans="1:11" x14ac:dyDescent="0.25">
      <c r="A105" s="59">
        <v>1</v>
      </c>
    </row>
    <row r="106" spans="1:11" ht="12" thickBot="1" x14ac:dyDescent="0.3">
      <c r="A106" s="59">
        <v>1</v>
      </c>
      <c r="C106" s="20" t="s">
        <v>48</v>
      </c>
      <c r="D106" s="20"/>
      <c r="E106" s="20"/>
      <c r="F106" s="20"/>
      <c r="G106" s="20"/>
      <c r="H106" s="20"/>
      <c r="I106" s="20"/>
      <c r="J106" s="20"/>
      <c r="K106" s="20"/>
    </row>
    <row r="107" spans="1:11" x14ac:dyDescent="0.25">
      <c r="A107" s="59">
        <v>1</v>
      </c>
    </row>
    <row r="108" spans="1:11" x14ac:dyDescent="0.25">
      <c r="A108" s="59">
        <v>1</v>
      </c>
      <c r="F108" t="s">
        <v>8</v>
      </c>
    </row>
    <row r="109" spans="1:11" ht="20" x14ac:dyDescent="0.4">
      <c r="A109" s="59">
        <v>1</v>
      </c>
      <c r="C109" s="25" t="s">
        <v>189</v>
      </c>
    </row>
    <row r="110" spans="1:11" x14ac:dyDescent="0.25">
      <c r="A110" s="59">
        <v>1</v>
      </c>
      <c r="C110" t="s">
        <v>123</v>
      </c>
      <c r="D110" s="227" t="s">
        <v>130</v>
      </c>
      <c r="E110" s="227"/>
      <c r="F110" s="227"/>
      <c r="G110" s="227"/>
    </row>
    <row r="111" spans="1:11" x14ac:dyDescent="0.25">
      <c r="A111" s="59">
        <v>1</v>
      </c>
      <c r="C111" t="s">
        <v>235</v>
      </c>
      <c r="D111" s="107" t="s">
        <v>131</v>
      </c>
    </row>
    <row r="112" spans="1:11" s="59" customFormat="1" x14ac:dyDescent="0.25">
      <c r="A112" s="59">
        <v>1</v>
      </c>
      <c r="C112" s="59" t="str">
        <f>"+/- % følsomhed i dækningsbidragstab under sanering"</f>
        <v>+/- % følsomhed i dækningsbidragstab under sanering</v>
      </c>
      <c r="D112" s="109">
        <f>89*0.5/144</f>
        <v>0.30902777777777779</v>
      </c>
      <c r="E112" s="59" t="s">
        <v>205</v>
      </c>
    </row>
    <row r="113" spans="1:8" s="59" customFormat="1" x14ac:dyDescent="0.25">
      <c r="A113" s="59">
        <v>1</v>
      </c>
    </row>
    <row r="114" spans="1:8" s="59" customFormat="1" ht="12" thickBot="1" x14ac:dyDescent="0.3">
      <c r="A114" s="59">
        <v>1</v>
      </c>
      <c r="C114" s="27" t="s">
        <v>137</v>
      </c>
      <c r="D114" s="82" t="str">
        <f>C46</f>
        <v>Delsanering søer men med totalsanering øvrige pladser</v>
      </c>
      <c r="E114" s="75"/>
    </row>
    <row r="115" spans="1:8" s="59" customFormat="1" ht="12" thickTop="1" x14ac:dyDescent="0.25">
      <c r="A115" s="59">
        <v>1</v>
      </c>
      <c r="D115" s="8"/>
    </row>
    <row r="116" spans="1:8" s="59" customFormat="1" ht="23" x14ac:dyDescent="0.25">
      <c r="A116" s="59">
        <v>1</v>
      </c>
      <c r="F116" s="47"/>
      <c r="G116" s="64" t="s">
        <v>124</v>
      </c>
      <c r="H116" s="64" t="s">
        <v>125</v>
      </c>
    </row>
    <row r="117" spans="1:8" x14ac:dyDescent="0.25">
      <c r="A117" s="59">
        <v>1</v>
      </c>
      <c r="D117" s="8" t="s">
        <v>22</v>
      </c>
      <c r="E117" t="s">
        <v>8</v>
      </c>
      <c r="F117" s="47" t="s">
        <v>25</v>
      </c>
      <c r="G117" s="47" t="str">
        <f>D24</f>
        <v>Ja</v>
      </c>
      <c r="H117" s="71">
        <f>IF(D$46&gt;2,F24,G24)</f>
        <v>0.75</v>
      </c>
    </row>
    <row r="118" spans="1:8" x14ac:dyDescent="0.25">
      <c r="A118" s="59">
        <v>1</v>
      </c>
      <c r="C118" t="s">
        <v>110</v>
      </c>
      <c r="D118" s="45">
        <f>((F51/52)*D78*D51+(F52/E52)*E78*D52+(F53/E53)*F78*D53)*-1</f>
        <v>-335473.38429833291</v>
      </c>
      <c r="F118" s="47" t="s">
        <v>26</v>
      </c>
      <c r="G118" s="47" t="str">
        <f>D25</f>
        <v>Ja</v>
      </c>
      <c r="H118" s="71">
        <f>IF(D$46&gt;2,F25,G25)</f>
        <v>0.05</v>
      </c>
    </row>
    <row r="119" spans="1:8" x14ac:dyDescent="0.25">
      <c r="A119" s="59">
        <v>1</v>
      </c>
      <c r="C119" t="s">
        <v>240</v>
      </c>
      <c r="D119" s="4">
        <f>IF(D46&lt;=2,D84*D51*-1,0)</f>
        <v>0</v>
      </c>
      <c r="F119" s="47" t="s">
        <v>24</v>
      </c>
      <c r="G119" s="47" t="str">
        <f>D26</f>
        <v>Ja</v>
      </c>
      <c r="H119" s="71">
        <f>IF(D$46&gt;2,F26,G26)</f>
        <v>0.85</v>
      </c>
    </row>
    <row r="120" spans="1:8" x14ac:dyDescent="0.25">
      <c r="A120" s="59">
        <v>1</v>
      </c>
      <c r="C120" t="s">
        <v>18</v>
      </c>
      <c r="D120" s="4">
        <f>(-((22+21)/52)*D51*0.55*$D$85)*IF(D83="Ja",1,0)</f>
        <v>-136442.30769230769</v>
      </c>
    </row>
    <row r="121" spans="1:8" x14ac:dyDescent="0.25">
      <c r="A121" s="59">
        <v>1</v>
      </c>
      <c r="C121" t="s">
        <v>47</v>
      </c>
      <c r="D121" s="4">
        <f>IF(D46&gt;2,-1*(100-D88)%*D51*D87*D78/52,0)</f>
        <v>-211077.61538461535</v>
      </c>
    </row>
    <row r="122" spans="1:8" x14ac:dyDescent="0.25">
      <c r="A122" s="59">
        <v>1</v>
      </c>
      <c r="C122" t="s">
        <v>140</v>
      </c>
      <c r="D122" s="4">
        <f>IF(D46&lt;=2,I95,I96)*-1</f>
        <v>-1946.7130434782609</v>
      </c>
    </row>
    <row r="123" spans="1:8" x14ac:dyDescent="0.25">
      <c r="A123" s="59">
        <v>1</v>
      </c>
      <c r="C123" t="s">
        <v>31</v>
      </c>
      <c r="D123" s="45">
        <f>IF(D46=2,D51*(17/E51)*D86*-1,0)</f>
        <v>0</v>
      </c>
      <c r="F123" s="47" t="s">
        <v>122</v>
      </c>
      <c r="G123" s="47" t="s">
        <v>133</v>
      </c>
      <c r="H123" s="47" t="s">
        <v>134</v>
      </c>
    </row>
    <row r="124" spans="1:8" x14ac:dyDescent="0.25">
      <c r="A124" s="59">
        <v>1</v>
      </c>
      <c r="C124" t="s">
        <v>39</v>
      </c>
      <c r="D124" s="4">
        <f>IF(D46&lt;=2,D89,D90)*-1</f>
        <v>-21720</v>
      </c>
      <c r="F124" s="47" t="s">
        <v>0</v>
      </c>
      <c r="G124" s="72">
        <f>D51</f>
        <v>1000</v>
      </c>
      <c r="H124" s="73">
        <f>D78</f>
        <v>3784.8399999999992</v>
      </c>
    </row>
    <row r="125" spans="1:8" ht="12" thickBot="1" x14ac:dyDescent="0.3">
      <c r="A125" s="59">
        <v>1</v>
      </c>
      <c r="C125" s="20" t="s">
        <v>44</v>
      </c>
      <c r="D125" s="22">
        <f>SUM(D118:D124)</f>
        <v>-706660.02041873429</v>
      </c>
      <c r="F125" s="47" t="s">
        <v>15</v>
      </c>
      <c r="G125" s="72">
        <f>D52</f>
        <v>5292.3076923076924</v>
      </c>
      <c r="H125" s="73">
        <f>E78</f>
        <v>63.388866219161741</v>
      </c>
    </row>
    <row r="126" spans="1:8" s="48" customFormat="1" x14ac:dyDescent="0.25">
      <c r="A126" s="59">
        <v>1</v>
      </c>
      <c r="C126" t="s">
        <v>236</v>
      </c>
      <c r="D126" s="4">
        <f>IF(D46&lt;=2,SUM(G30:G32),SUM(F30:F32))</f>
        <v>111800</v>
      </c>
      <c r="F126" s="47" t="s">
        <v>16</v>
      </c>
      <c r="G126" s="72">
        <f>D53</f>
        <v>0</v>
      </c>
      <c r="H126" s="73">
        <f>F78</f>
        <v>144.17327012348778</v>
      </c>
    </row>
    <row r="127" spans="1:8" s="59" customFormat="1" x14ac:dyDescent="0.25">
      <c r="A127" s="59">
        <v>1</v>
      </c>
      <c r="C127" s="59" t="s">
        <v>259</v>
      </c>
      <c r="D127" s="4">
        <f>(D102*D48*D51)*IF(D46&gt;2,F26,1)</f>
        <v>146200</v>
      </c>
    </row>
    <row r="128" spans="1:8" x14ac:dyDescent="0.25">
      <c r="A128" s="59">
        <v>1</v>
      </c>
      <c r="C128" s="50" t="s">
        <v>129</v>
      </c>
      <c r="D128" s="51">
        <f>D103*IF(D46&gt;2,F26,1)</f>
        <v>0</v>
      </c>
    </row>
    <row r="129" spans="1:7" x14ac:dyDescent="0.25">
      <c r="A129" s="59">
        <v>1</v>
      </c>
      <c r="C129" s="3" t="s">
        <v>237</v>
      </c>
      <c r="D129" s="7">
        <f>SUM(D126:D128)</f>
        <v>258000</v>
      </c>
    </row>
    <row r="130" spans="1:7" ht="12" thickBot="1" x14ac:dyDescent="0.3">
      <c r="A130" s="59">
        <v>1</v>
      </c>
      <c r="C130" s="27" t="s">
        <v>28</v>
      </c>
      <c r="D130" s="28">
        <f>-1*SUM(D118:D124)/SUM(D126:D128)</f>
        <v>2.7389923272043966</v>
      </c>
      <c r="G130" s="4"/>
    </row>
    <row r="131" spans="1:7" ht="12" thickTop="1" x14ac:dyDescent="0.25">
      <c r="A131">
        <v>1</v>
      </c>
      <c r="C131" s="65" t="str">
        <f>C10</f>
        <v xml:space="preserve">Nutidsværdi saneringsplan efter 8 år inklusiv rentesats, i mio. kr. </v>
      </c>
      <c r="D131" s="67">
        <f>(D7+IF(D4&gt;0,D129*(1-POWER(1+D4,-D3))/D4,D129*D3))/1000000</f>
        <v>0.99507858495981427</v>
      </c>
      <c r="G131" s="4"/>
    </row>
    <row r="132" spans="1:7" x14ac:dyDescent="0.25">
      <c r="A132" s="59">
        <v>1</v>
      </c>
      <c r="C132" t="s">
        <v>8</v>
      </c>
    </row>
    <row r="133" spans="1:7" s="59" customFormat="1" x14ac:dyDescent="0.25">
      <c r="A133" s="59">
        <v>1</v>
      </c>
    </row>
    <row r="134" spans="1:7" s="59" customFormat="1" x14ac:dyDescent="0.25">
      <c r="A134" s="59">
        <v>1</v>
      </c>
      <c r="C134" s="8" t="s">
        <v>132</v>
      </c>
    </row>
    <row r="135" spans="1:7" s="59" customFormat="1" x14ac:dyDescent="0.25">
      <c r="A135" s="59">
        <v>1</v>
      </c>
      <c r="C135" s="60" t="s">
        <v>139</v>
      </c>
      <c r="D135" s="47" t="s">
        <v>128</v>
      </c>
      <c r="E135" s="47" t="s">
        <v>126</v>
      </c>
      <c r="F135" s="47" t="s">
        <v>127</v>
      </c>
    </row>
    <row r="136" spans="1:7" s="59" customFormat="1" x14ac:dyDescent="0.25">
      <c r="A136" s="59">
        <v>1</v>
      </c>
      <c r="C136" s="47" t="s">
        <v>138</v>
      </c>
      <c r="D136" s="72">
        <f>D118*(1-D$112)+SUM(D119:D124)</f>
        <v>-602989.42596542987</v>
      </c>
      <c r="E136" s="72">
        <f>D125</f>
        <v>-706660.02041873429</v>
      </c>
      <c r="F136" s="72">
        <f>D118*(1+D112)</f>
        <v>-439143.97875163716</v>
      </c>
    </row>
    <row r="137" spans="1:7" s="59" customFormat="1" x14ac:dyDescent="0.25">
      <c r="A137" s="59">
        <v>1</v>
      </c>
      <c r="C137" s="47" t="s">
        <v>238</v>
      </c>
      <c r="D137" s="72">
        <f>$D129</f>
        <v>258000</v>
      </c>
      <c r="E137" s="72">
        <f t="shared" ref="E137:F137" si="0">$D129</f>
        <v>258000</v>
      </c>
      <c r="F137" s="72">
        <f t="shared" si="0"/>
        <v>258000</v>
      </c>
    </row>
    <row r="138" spans="1:7" s="59" customFormat="1" x14ac:dyDescent="0.25">
      <c r="A138" s="59">
        <v>1</v>
      </c>
      <c r="C138" s="47" t="s">
        <v>28</v>
      </c>
      <c r="D138" s="74">
        <f>D136/IF(D137&lt;&gt;0,D137,1)</f>
        <v>-2.3371683176954647</v>
      </c>
      <c r="E138" s="74">
        <f t="shared" ref="E138:F138" si="1">E136/IF(E137&lt;&gt;0,E137,1)</f>
        <v>-2.7389923272043966</v>
      </c>
      <c r="F138" s="74">
        <f t="shared" si="1"/>
        <v>-1.7021084447737875</v>
      </c>
    </row>
    <row r="139" spans="1:7" s="59" customFormat="1" x14ac:dyDescent="0.25">
      <c r="A139" s="59">
        <v>1</v>
      </c>
      <c r="C139" s="47" t="str">
        <f>C10</f>
        <v xml:space="preserve">Nutidsværdi saneringsplan efter 8 år inklusiv rentesats, i mio. kr. </v>
      </c>
      <c r="D139" s="74">
        <f>(D136+IF($D$4&gt;0,D137*(1-POWER(1+$D$4,-$D$3))/$D$4,D137*$D$3))/1000000</f>
        <v>1.0987491794131188</v>
      </c>
      <c r="E139" s="74">
        <f t="shared" ref="E139:F139" si="2">(E136+IF($D$4&gt;0,E137*(1-POWER(1+$D$4,-$D$3))/$D$4,E137*$D$3))/1000000</f>
        <v>0.99507858495981427</v>
      </c>
      <c r="F139" s="74">
        <f t="shared" si="2"/>
        <v>1.2625946266269115</v>
      </c>
    </row>
    <row r="140" spans="1:7" s="59" customFormat="1" x14ac:dyDescent="0.25">
      <c r="A140" s="59">
        <v>1</v>
      </c>
      <c r="C140" s="50"/>
      <c r="D140" s="80"/>
      <c r="E140" s="80"/>
      <c r="F140" s="80"/>
    </row>
    <row r="141" spans="1:7" s="59" customFormat="1" x14ac:dyDescent="0.25">
      <c r="A141" s="59">
        <v>1</v>
      </c>
      <c r="C141" s="50"/>
      <c r="D141" s="80"/>
      <c r="E141" s="80"/>
      <c r="F141" s="80"/>
    </row>
    <row r="142" spans="1:7" s="59" customFormat="1" x14ac:dyDescent="0.25">
      <c r="A142" s="59">
        <v>1</v>
      </c>
      <c r="D142" s="33"/>
    </row>
    <row r="143" spans="1:7" s="59" customFormat="1" x14ac:dyDescent="0.25">
      <c r="A143" s="59">
        <v>1</v>
      </c>
      <c r="C143" s="228" t="s">
        <v>136</v>
      </c>
      <c r="D143" s="228"/>
      <c r="E143" s="228"/>
      <c r="F143" s="228"/>
      <c r="G143" s="228"/>
    </row>
    <row r="144" spans="1:7" s="59" customFormat="1" ht="46" x14ac:dyDescent="0.25">
      <c r="A144" s="59">
        <v>1</v>
      </c>
      <c r="C144" s="70">
        <f>D163</f>
        <v>-21720</v>
      </c>
      <c r="D144" s="1" t="s">
        <v>13</v>
      </c>
      <c r="E144" s="1" t="s">
        <v>14</v>
      </c>
      <c r="F144" s="1" t="s">
        <v>239</v>
      </c>
      <c r="G144" s="1" t="s">
        <v>29</v>
      </c>
    </row>
    <row r="145" spans="1:7" s="59" customFormat="1" x14ac:dyDescent="0.25">
      <c r="A145" s="59">
        <v>1</v>
      </c>
      <c r="C145" s="59" t="str">
        <f>C118</f>
        <v>Saneringsomkostning tabte dækningsbidrag</v>
      </c>
      <c r="D145" s="4">
        <f t="dataTable" ref="D145:G158" dt2D="1" dtr="1" r1="C46" r2="C163"/>
        <v>-2859303.6526572099</v>
      </c>
      <c r="E145" s="4">
        <v>-847368.74940552795</v>
      </c>
      <c r="F145" s="4">
        <v>-335473.38429833291</v>
      </c>
      <c r="G145" s="4">
        <v>-41934.173037291614</v>
      </c>
    </row>
    <row r="146" spans="1:7" s="59" customFormat="1" x14ac:dyDescent="0.25">
      <c r="A146" s="59">
        <v>1</v>
      </c>
      <c r="C146" s="93" t="str">
        <f t="shared" ref="C146:C151" si="3">C119</f>
        <v>Ekstraordinære afskrivninger søer på stald</v>
      </c>
      <c r="D146" s="4">
        <v>-300000</v>
      </c>
      <c r="E146" s="4">
        <v>-300000</v>
      </c>
      <c r="F146" s="4">
        <v>0</v>
      </c>
      <c r="G146" s="4">
        <v>0</v>
      </c>
    </row>
    <row r="147" spans="1:7" s="59" customFormat="1" x14ac:dyDescent="0.25">
      <c r="A147" s="59">
        <v>1</v>
      </c>
      <c r="C147" s="93" t="str">
        <f t="shared" si="3"/>
        <v>Ekstraordinære afskrivninger egen polteproduktion</v>
      </c>
      <c r="D147" s="4">
        <v>-136442.30769230769</v>
      </c>
      <c r="E147" s="4">
        <v>-136442.30769230769</v>
      </c>
      <c r="F147" s="4">
        <v>-136442.30769230769</v>
      </c>
      <c r="G147" s="4">
        <v>-136442.30769230769</v>
      </c>
    </row>
    <row r="148" spans="1:7" s="59" customFormat="1" x14ac:dyDescent="0.25">
      <c r="A148" s="59">
        <v>1</v>
      </c>
      <c r="C148" s="93" t="str">
        <f t="shared" si="3"/>
        <v>LCH tab</v>
      </c>
      <c r="D148" s="4">
        <v>0</v>
      </c>
      <c r="E148" s="4">
        <v>0</v>
      </c>
      <c r="F148" s="4">
        <v>-211077.61538461535</v>
      </c>
      <c r="G148" s="4">
        <v>-211077.61538461535</v>
      </c>
    </row>
    <row r="149" spans="1:7" s="59" customFormat="1" x14ac:dyDescent="0.25">
      <c r="A149" s="59">
        <v>1</v>
      </c>
      <c r="C149" s="93" t="str">
        <f t="shared" si="3"/>
        <v>Ekstra grundig rengøring stalde og desinfektion stalde</v>
      </c>
      <c r="D149" s="4">
        <v>-3031.9304347826087</v>
      </c>
      <c r="E149" s="4">
        <v>-3031.9304347826087</v>
      </c>
      <c r="F149" s="4">
        <v>-1946.7130434782609</v>
      </c>
      <c r="G149" s="4">
        <v>-1946.7130434782609</v>
      </c>
    </row>
    <row r="150" spans="1:7" s="59" customFormat="1" x14ac:dyDescent="0.25">
      <c r="A150" s="59">
        <v>1</v>
      </c>
      <c r="C150" s="93" t="str">
        <f t="shared" si="3"/>
        <v>Staldleje</v>
      </c>
      <c r="D150" s="4">
        <v>0</v>
      </c>
      <c r="E150" s="4">
        <v>-207238.09523809524</v>
      </c>
      <c r="F150" s="4">
        <v>0</v>
      </c>
      <c r="G150" s="4">
        <v>0</v>
      </c>
    </row>
    <row r="151" spans="1:7" s="59" customFormat="1" x14ac:dyDescent="0.25">
      <c r="A151" s="59">
        <v>1</v>
      </c>
      <c r="C151" s="93" t="str">
        <f t="shared" si="3"/>
        <v>Diverse omkostninger sanering</v>
      </c>
      <c r="D151" s="4">
        <v>-20000</v>
      </c>
      <c r="E151" s="4">
        <v>-20000</v>
      </c>
      <c r="F151" s="4">
        <v>-21720</v>
      </c>
      <c r="G151" s="4">
        <v>-21720</v>
      </c>
    </row>
    <row r="152" spans="1:7" s="59" customFormat="1" ht="12" thickBot="1" x14ac:dyDescent="0.3">
      <c r="A152" s="59">
        <v>1</v>
      </c>
      <c r="C152" s="68" t="str">
        <f t="shared" ref="C152:C157" si="4">C125</f>
        <v>Total omkostning sanering</v>
      </c>
      <c r="D152" s="69">
        <v>-3318777.8907842999</v>
      </c>
      <c r="E152" s="69">
        <v>-1514081.0827707134</v>
      </c>
      <c r="F152" s="69">
        <v>-706660.02041873429</v>
      </c>
      <c r="G152" s="69">
        <v>-413120.80915769289</v>
      </c>
    </row>
    <row r="153" spans="1:7" s="59" customFormat="1" ht="12" thickTop="1" x14ac:dyDescent="0.25">
      <c r="A153" s="59">
        <v>1</v>
      </c>
      <c r="C153" s="59" t="str">
        <f t="shared" si="4"/>
        <v>Indregnet sundhedstillæg salg efter sanering (SEGES middel vurdering) kr./år</v>
      </c>
      <c r="D153" s="4">
        <v>309600</v>
      </c>
      <c r="E153" s="4">
        <v>309600</v>
      </c>
      <c r="F153" s="4">
        <v>111800</v>
      </c>
      <c r="G153" s="4">
        <v>111800</v>
      </c>
    </row>
    <row r="154" spans="1:7" s="59" customFormat="1" x14ac:dyDescent="0.25">
      <c r="A154" s="59">
        <v>1</v>
      </c>
      <c r="C154" s="59" t="str">
        <f t="shared" si="4"/>
        <v>Indregnet forbedret økonomi sohold PRRS-fri status kr../år</v>
      </c>
      <c r="D154" s="4">
        <v>172000</v>
      </c>
      <c r="E154" s="4">
        <v>172000</v>
      </c>
      <c r="F154" s="4">
        <v>146200</v>
      </c>
      <c r="G154" s="4">
        <v>146200</v>
      </c>
    </row>
    <row r="155" spans="1:7" s="59" customFormat="1" ht="12" thickBot="1" x14ac:dyDescent="0.3">
      <c r="A155" s="59">
        <v>1</v>
      </c>
      <c r="C155" s="75" t="str">
        <f t="shared" si="4"/>
        <v>Forbedret DB efter saneringsplan +/- til SEGES vurdering kr./år</v>
      </c>
      <c r="D155" s="76">
        <v>0</v>
      </c>
      <c r="E155" s="76">
        <v>0</v>
      </c>
      <c r="F155" s="76">
        <v>0</v>
      </c>
      <c r="G155" s="76">
        <v>0</v>
      </c>
    </row>
    <row r="156" spans="1:7" s="59" customFormat="1" ht="12.5" thickTop="1" thickBot="1" x14ac:dyDescent="0.3">
      <c r="A156" s="59">
        <v>1</v>
      </c>
      <c r="C156" s="75" t="str">
        <f t="shared" si="4"/>
        <v>I alt forbedret cash flow efter sanering i kr./år</v>
      </c>
      <c r="D156" s="76">
        <v>481600</v>
      </c>
      <c r="E156" s="76">
        <v>481600</v>
      </c>
      <c r="F156" s="76">
        <v>258000</v>
      </c>
      <c r="G156" s="76">
        <v>258000</v>
      </c>
    </row>
    <row r="157" spans="1:7" s="59" customFormat="1" ht="12.5" thickTop="1" thickBot="1" x14ac:dyDescent="0.3">
      <c r="A157" s="59">
        <v>1</v>
      </c>
      <c r="C157" s="78" t="str">
        <f t="shared" si="4"/>
        <v>Simpel tilbagebetalingstid i år</v>
      </c>
      <c r="D157" s="79">
        <v>6.8911501054491282</v>
      </c>
      <c r="E157" s="79">
        <v>3.1438560688760662</v>
      </c>
      <c r="F157" s="79">
        <v>2.7389923272043966</v>
      </c>
      <c r="G157" s="79">
        <v>1.6012434463476468</v>
      </c>
    </row>
    <row r="158" spans="1:7" s="59" customFormat="1" ht="12.5" thickTop="1" thickBot="1" x14ac:dyDescent="0.3">
      <c r="A158" s="59">
        <v>1</v>
      </c>
      <c r="C158" s="75" t="str">
        <f>C139</f>
        <v xml:space="preserve">Nutidsværdi saneringsplan efter 8 år inklusiv rentesats, i mio. kr. </v>
      </c>
      <c r="D158" s="77">
        <v>-0.14219916074434294</v>
      </c>
      <c r="E158" s="77">
        <v>1.6624976472692437</v>
      </c>
      <c r="F158" s="77">
        <v>0.99507858495981427</v>
      </c>
      <c r="G158" s="77">
        <v>1.2886177962208558</v>
      </c>
    </row>
    <row r="159" spans="1:7" s="59" customFormat="1" ht="12" thickTop="1" x14ac:dyDescent="0.25"/>
    <row r="160" spans="1:7" s="59" customFormat="1" x14ac:dyDescent="0.25"/>
    <row r="161" spans="3:6" s="59" customFormat="1" hidden="1" x14ac:dyDescent="0.25">
      <c r="C161" s="59" t="s">
        <v>135</v>
      </c>
    </row>
    <row r="162" spans="3:6" s="59" customFormat="1" hidden="1" x14ac:dyDescent="0.25">
      <c r="C162" s="59" t="s">
        <v>42</v>
      </c>
      <c r="D162" s="59" t="s">
        <v>120</v>
      </c>
    </row>
    <row r="163" spans="3:6" s="59" customFormat="1" hidden="1" x14ac:dyDescent="0.25">
      <c r="C163" s="59" t="s">
        <v>39</v>
      </c>
      <c r="D163" s="4">
        <f>VLOOKUP(C163,C118:D131,2,FALSE)</f>
        <v>-21720</v>
      </c>
    </row>
    <row r="164" spans="3:6" s="59" customFormat="1" hidden="1" x14ac:dyDescent="0.25"/>
    <row r="165" spans="3:6" hidden="1" x14ac:dyDescent="0.25"/>
    <row r="166" spans="3:6" ht="46" hidden="1" x14ac:dyDescent="0.25">
      <c r="D166" s="1" t="str">
        <f>C38</f>
        <v>Totalsanering alle pladser på lokaliteten</v>
      </c>
      <c r="E166" s="1" t="str">
        <f>C39</f>
        <v>Totalsanering men med lejet gyltestald</v>
      </c>
      <c r="F166" s="1" t="str">
        <f>C40</f>
        <v>Delsanering søer men med totalsanering øvrige pladser</v>
      </c>
    </row>
    <row r="167" spans="3:6" hidden="1" x14ac:dyDescent="0.25">
      <c r="C167" t="s">
        <v>13</v>
      </c>
    </row>
    <row r="168" spans="3:6" hidden="1" x14ac:dyDescent="0.25">
      <c r="C168" t="s">
        <v>6</v>
      </c>
    </row>
    <row r="169" spans="3:6" hidden="1" x14ac:dyDescent="0.25">
      <c r="C169" t="s">
        <v>17</v>
      </c>
    </row>
    <row r="170" spans="3:6" hidden="1" x14ac:dyDescent="0.25">
      <c r="C170" t="s">
        <v>18</v>
      </c>
    </row>
    <row r="171" spans="3:6" hidden="1" x14ac:dyDescent="0.25">
      <c r="C171" t="s">
        <v>47</v>
      </c>
    </row>
    <row r="172" spans="3:6" hidden="1" x14ac:dyDescent="0.25">
      <c r="C172" t="s">
        <v>5</v>
      </c>
    </row>
    <row r="173" spans="3:6" hidden="1" x14ac:dyDescent="0.25">
      <c r="C173" t="s">
        <v>31</v>
      </c>
    </row>
    <row r="174" spans="3:6" hidden="1" x14ac:dyDescent="0.25">
      <c r="C174" t="s">
        <v>64</v>
      </c>
    </row>
    <row r="175" spans="3:6" hidden="1" x14ac:dyDescent="0.25">
      <c r="C175" t="s">
        <v>39</v>
      </c>
    </row>
    <row r="176" spans="3:6" hidden="1" x14ac:dyDescent="0.25">
      <c r="C176" t="s">
        <v>44</v>
      </c>
    </row>
    <row r="177" spans="3:7" hidden="1" x14ac:dyDescent="0.25">
      <c r="C177" t="s">
        <v>40</v>
      </c>
    </row>
    <row r="178" spans="3:7" hidden="1" x14ac:dyDescent="0.25">
      <c r="C178" t="s">
        <v>41</v>
      </c>
    </row>
    <row r="179" spans="3:7" hidden="1" x14ac:dyDescent="0.25">
      <c r="C179" t="s">
        <v>42</v>
      </c>
      <c r="G179" s="11"/>
    </row>
    <row r="180" spans="3:7" hidden="1" x14ac:dyDescent="0.25">
      <c r="C180" t="s">
        <v>6</v>
      </c>
      <c r="D180" s="221" t="s">
        <v>43</v>
      </c>
      <c r="E180" s="221"/>
      <c r="F180" s="221"/>
      <c r="G180" s="221"/>
    </row>
    <row r="181" spans="3:7" ht="46" hidden="1" x14ac:dyDescent="0.25">
      <c r="C181" s="15" t="e">
        <f>VLOOKUP(C180,C118:D130,2,FALSE)</f>
        <v>#N/A</v>
      </c>
      <c r="D181" s="1" t="str">
        <f>C38</f>
        <v>Totalsanering alle pladser på lokaliteten</v>
      </c>
      <c r="E181" s="1" t="str">
        <f>C39</f>
        <v>Totalsanering men med lejet gyltestald</v>
      </c>
      <c r="F181" s="1" t="str">
        <f>C40</f>
        <v>Delsanering søer men med totalsanering øvrige pladser</v>
      </c>
      <c r="G181" s="1" t="str">
        <f>C41</f>
        <v>Uændret drift, eventuelt med lidt tomme vækstsektioner</v>
      </c>
    </row>
    <row r="182" spans="3:7" hidden="1" x14ac:dyDescent="0.25">
      <c r="C182" t="s">
        <v>12</v>
      </c>
      <c r="D182" s="13" t="e">
        <v>#N/A</v>
      </c>
      <c r="E182" s="13" t="e">
        <v>#N/A</v>
      </c>
      <c r="F182" s="13" t="e">
        <v>#N/A</v>
      </c>
      <c r="G182" s="13" t="e">
        <v>#N/A</v>
      </c>
    </row>
    <row r="183" spans="3:7" hidden="1" x14ac:dyDescent="0.25">
      <c r="C183" t="s">
        <v>6</v>
      </c>
      <c r="D183" s="13"/>
      <c r="E183" s="13"/>
      <c r="F183" s="13"/>
      <c r="G183" s="13"/>
    </row>
    <row r="184" spans="3:7" hidden="1" x14ac:dyDescent="0.25">
      <c r="C184" t="s">
        <v>17</v>
      </c>
      <c r="D184" s="13"/>
      <c r="E184" s="13"/>
      <c r="F184" s="13"/>
      <c r="G184" s="13"/>
    </row>
    <row r="185" spans="3:7" hidden="1" x14ac:dyDescent="0.25">
      <c r="C185" t="s">
        <v>18</v>
      </c>
      <c r="D185" s="13"/>
      <c r="E185" s="13"/>
      <c r="F185" s="13"/>
      <c r="G185" s="13"/>
    </row>
    <row r="186" spans="3:7" hidden="1" x14ac:dyDescent="0.25">
      <c r="C186" t="s">
        <v>47</v>
      </c>
      <c r="D186" s="13"/>
      <c r="E186" s="13"/>
      <c r="F186" s="13"/>
      <c r="G186" s="13"/>
    </row>
    <row r="187" spans="3:7" hidden="1" x14ac:dyDescent="0.25">
      <c r="C187" t="s">
        <v>5</v>
      </c>
      <c r="D187" s="13"/>
      <c r="E187" s="13"/>
      <c r="F187" s="13"/>
      <c r="G187" s="13"/>
    </row>
    <row r="188" spans="3:7" hidden="1" x14ac:dyDescent="0.25">
      <c r="C188" t="s">
        <v>31</v>
      </c>
      <c r="D188" s="13"/>
      <c r="E188" s="13"/>
      <c r="F188" s="13"/>
      <c r="G188" s="13"/>
    </row>
    <row r="189" spans="3:7" ht="12" hidden="1" thickBot="1" x14ac:dyDescent="0.3">
      <c r="C189" s="20" t="s">
        <v>39</v>
      </c>
      <c r="D189" s="21"/>
      <c r="E189" s="21"/>
      <c r="F189" s="21"/>
      <c r="G189" s="21"/>
    </row>
    <row r="190" spans="3:7" hidden="1" x14ac:dyDescent="0.25">
      <c r="C190" s="3" t="s">
        <v>44</v>
      </c>
      <c r="D190" s="14"/>
      <c r="E190" s="14"/>
      <c r="F190" s="14"/>
      <c r="G190" s="14"/>
    </row>
    <row r="191" spans="3:7" hidden="1" x14ac:dyDescent="0.25">
      <c r="C191" s="3" t="e">
        <f>#REF!</f>
        <v>#REF!</v>
      </c>
      <c r="D191" s="14"/>
      <c r="E191" s="14"/>
      <c r="F191" s="14"/>
      <c r="G191" s="14"/>
    </row>
    <row r="192" spans="3:7" hidden="1" x14ac:dyDescent="0.25">
      <c r="C192" s="18" t="s">
        <v>41</v>
      </c>
      <c r="D192" s="19"/>
      <c r="E192" s="19"/>
      <c r="F192" s="19"/>
      <c r="G192" s="19"/>
    </row>
    <row r="193" spans="3:7" hidden="1" x14ac:dyDescent="0.25">
      <c r="C193" s="16" t="s">
        <v>28</v>
      </c>
      <c r="D193" s="17"/>
      <c r="E193" s="17"/>
      <c r="F193" s="17"/>
      <c r="G193" s="17"/>
    </row>
    <row r="194" spans="3:7" hidden="1" x14ac:dyDescent="0.25"/>
    <row r="195" spans="3:7" hidden="1" x14ac:dyDescent="0.25"/>
    <row r="196" spans="3:7" hidden="1" x14ac:dyDescent="0.25"/>
    <row r="197" spans="3:7" hidden="1" x14ac:dyDescent="0.25"/>
    <row r="198" spans="3:7" hidden="1" x14ac:dyDescent="0.25"/>
    <row r="199" spans="3:7" hidden="1" x14ac:dyDescent="0.25"/>
    <row r="200" spans="3:7" hidden="1" x14ac:dyDescent="0.25">
      <c r="C200" t="s">
        <v>190</v>
      </c>
    </row>
    <row r="201" spans="3:7" hidden="1" x14ac:dyDescent="0.25"/>
    <row r="202" spans="3:7" hidden="1" x14ac:dyDescent="0.25"/>
    <row r="203" spans="3:7" hidden="1" x14ac:dyDescent="0.25"/>
    <row r="204" spans="3:7" hidden="1" x14ac:dyDescent="0.25">
      <c r="C204" s="48" t="s">
        <v>8</v>
      </c>
      <c r="D204" s="48"/>
      <c r="E204" s="48"/>
      <c r="F204" s="48"/>
      <c r="G204" s="48"/>
    </row>
    <row r="205" spans="3:7" ht="23" hidden="1" x14ac:dyDescent="0.25">
      <c r="C205" s="48"/>
      <c r="D205" s="1" t="s">
        <v>98</v>
      </c>
      <c r="E205" s="48"/>
    </row>
    <row r="206" spans="3:7" hidden="1" x14ac:dyDescent="0.25">
      <c r="C206" s="48" t="s">
        <v>91</v>
      </c>
      <c r="D206" s="48">
        <f t="shared" ref="D206:D212" si="5">H3</f>
        <v>13.25</v>
      </c>
      <c r="E206" s="48" t="s">
        <v>53</v>
      </c>
    </row>
    <row r="207" spans="3:7" hidden="1" x14ac:dyDescent="0.25">
      <c r="C207" s="48" t="s">
        <v>89</v>
      </c>
      <c r="D207" s="49">
        <f t="shared" si="5"/>
        <v>277</v>
      </c>
      <c r="E207" s="48" t="s">
        <v>94</v>
      </c>
    </row>
    <row r="208" spans="3:7" hidden="1" x14ac:dyDescent="0.25">
      <c r="C208" s="48" t="s">
        <v>90</v>
      </c>
      <c r="D208" s="49">
        <f t="shared" si="5"/>
        <v>504</v>
      </c>
      <c r="E208" s="48" t="s">
        <v>95</v>
      </c>
    </row>
    <row r="209" spans="3:8" hidden="1" x14ac:dyDescent="0.25">
      <c r="C209" s="48" t="s">
        <v>76</v>
      </c>
      <c r="D209" s="49">
        <f t="shared" si="5"/>
        <v>2.5099999999999998</v>
      </c>
      <c r="E209" s="48" t="s">
        <v>92</v>
      </c>
    </row>
    <row r="210" spans="3:8" hidden="1" x14ac:dyDescent="0.25">
      <c r="C210" s="48" t="s">
        <v>78</v>
      </c>
      <c r="D210" s="49">
        <f t="shared" si="5"/>
        <v>4.88</v>
      </c>
      <c r="E210" s="48" t="s">
        <v>92</v>
      </c>
    </row>
    <row r="211" spans="3:8" hidden="1" x14ac:dyDescent="0.25">
      <c r="C211" s="48" t="s">
        <v>79</v>
      </c>
      <c r="D211" s="49">
        <f t="shared" si="5"/>
        <v>3.02</v>
      </c>
      <c r="E211" s="48" t="s">
        <v>92</v>
      </c>
    </row>
    <row r="212" spans="3:8" hidden="1" x14ac:dyDescent="0.25">
      <c r="C212" s="48" t="s">
        <v>80</v>
      </c>
      <c r="D212" s="49">
        <f t="shared" si="5"/>
        <v>2.56</v>
      </c>
      <c r="E212" s="48" t="s">
        <v>93</v>
      </c>
    </row>
    <row r="213" spans="3:8" hidden="1" x14ac:dyDescent="0.25">
      <c r="C213" t="s">
        <v>100</v>
      </c>
      <c r="D213" s="35">
        <f>(D208-D207)/23</f>
        <v>9.8695652173913047</v>
      </c>
    </row>
    <row r="214" spans="3:8" hidden="1" x14ac:dyDescent="0.25"/>
    <row r="215" spans="3:8" hidden="1" x14ac:dyDescent="0.25"/>
    <row r="216" spans="3:8" ht="34.5" hidden="1" x14ac:dyDescent="0.25">
      <c r="C216" s="1" t="s">
        <v>82</v>
      </c>
      <c r="D216" s="1" t="s">
        <v>83</v>
      </c>
      <c r="E216" s="1" t="s">
        <v>84</v>
      </c>
      <c r="F216" s="1" t="s">
        <v>85</v>
      </c>
      <c r="G216" s="1" t="s">
        <v>86</v>
      </c>
      <c r="H216" s="1" t="s">
        <v>87</v>
      </c>
    </row>
    <row r="217" spans="3:8" hidden="1" x14ac:dyDescent="0.25">
      <c r="C217" s="48">
        <v>0</v>
      </c>
      <c r="D217" s="48">
        <v>7</v>
      </c>
      <c r="E217" s="11">
        <f>F217-G217*D217</f>
        <v>135.14254992319511</v>
      </c>
      <c r="F217" s="11">
        <f>E218</f>
        <v>277</v>
      </c>
      <c r="G217" s="35">
        <f>G218+3</f>
        <v>20.265350010972128</v>
      </c>
      <c r="H217" s="33"/>
    </row>
    <row r="218" spans="3:8" hidden="1" x14ac:dyDescent="0.25">
      <c r="C218" s="48">
        <v>7</v>
      </c>
      <c r="D218" s="48">
        <v>9</v>
      </c>
      <c r="E218" s="11">
        <f>D207</f>
        <v>277</v>
      </c>
      <c r="F218" s="11">
        <f>E218+(D218-C218)*G218</f>
        <v>311.53070002194426</v>
      </c>
      <c r="G218" s="35">
        <f>D$213*H218</f>
        <v>17.265350010972128</v>
      </c>
      <c r="H218" s="33">
        <v>1.7493526442835194</v>
      </c>
    </row>
    <row r="219" spans="3:8" hidden="1" x14ac:dyDescent="0.25">
      <c r="C219" s="48">
        <v>9</v>
      </c>
      <c r="D219" s="48">
        <v>12</v>
      </c>
      <c r="E219" s="11">
        <f>F218</f>
        <v>311.53070002194426</v>
      </c>
      <c r="F219" s="11">
        <f>E219+(D219-C219)*G219</f>
        <v>341.56822470923851</v>
      </c>
      <c r="G219" s="35">
        <f t="shared" ref="G219:G222" si="6">D$213*H219</f>
        <v>10.01250822909809</v>
      </c>
      <c r="H219" s="33">
        <v>1.0144832126398946</v>
      </c>
    </row>
    <row r="220" spans="3:8" hidden="1" x14ac:dyDescent="0.25">
      <c r="C220" s="48">
        <v>12</v>
      </c>
      <c r="D220" s="48">
        <v>25</v>
      </c>
      <c r="E220" s="11">
        <f>F219</f>
        <v>341.56822470923851</v>
      </c>
      <c r="F220" s="11">
        <f>(D220-C220)*G220+E220</f>
        <v>468.49295589203416</v>
      </c>
      <c r="G220" s="35">
        <f t="shared" si="6"/>
        <v>9.7634408602150522</v>
      </c>
      <c r="H220" s="33">
        <v>0.98924731182795689</v>
      </c>
    </row>
    <row r="221" spans="3:8" hidden="1" x14ac:dyDescent="0.25">
      <c r="C221" s="48">
        <v>25</v>
      </c>
      <c r="D221" s="48">
        <v>30</v>
      </c>
      <c r="E221" s="11">
        <f>F220</f>
        <v>468.49295589203416</v>
      </c>
      <c r="F221" s="11">
        <f t="shared" ref="F221:F222" si="7">(D221-C221)*G221+E221</f>
        <v>504.05977616853187</v>
      </c>
      <c r="G221" s="35">
        <f t="shared" si="6"/>
        <v>7.1133640552995372</v>
      </c>
      <c r="H221" s="33">
        <v>0.7207373271889399</v>
      </c>
    </row>
    <row r="222" spans="3:8" hidden="1" x14ac:dyDescent="0.25">
      <c r="C222" s="48">
        <v>30</v>
      </c>
      <c r="D222" s="48">
        <v>40</v>
      </c>
      <c r="E222" s="11">
        <f>D208</f>
        <v>504</v>
      </c>
      <c r="F222" s="11">
        <f t="shared" si="7"/>
        <v>581.70901909150757</v>
      </c>
      <c r="G222" s="35">
        <f t="shared" si="6"/>
        <v>7.7709019091507558</v>
      </c>
      <c r="H222" s="33">
        <v>0.78736010533245537</v>
      </c>
    </row>
    <row r="223" spans="3:8" hidden="1" x14ac:dyDescent="0.25"/>
    <row r="224" spans="3:8" hidden="1" x14ac:dyDescent="0.25"/>
  </sheetData>
  <autoFilter ref="A1:A158" xr:uid="{AEA2B106-42B9-4566-99A3-DB4AA1057DA5}">
    <filterColumn colId="0">
      <filters>
        <filter val="1"/>
      </filters>
    </filterColumn>
  </autoFilter>
  <mergeCells count="8">
    <mergeCell ref="F2:H2"/>
    <mergeCell ref="C14:I14"/>
    <mergeCell ref="M57:O57"/>
    <mergeCell ref="D180:G180"/>
    <mergeCell ref="D17:F17"/>
    <mergeCell ref="C36:G36"/>
    <mergeCell ref="D110:G110"/>
    <mergeCell ref="C143:G143"/>
  </mergeCells>
  <dataValidations count="4">
    <dataValidation type="list" allowBlank="1" showInputMessage="1" showErrorMessage="1" sqref="D83 D24:D26 D93" xr:uid="{E1F9DDA4-7F53-4FCD-986F-E140A9DABD89}">
      <formula1>"Ja,Nej"</formula1>
    </dataValidation>
    <dataValidation type="list" allowBlank="1" showInputMessage="1" showErrorMessage="1" sqref="C180" xr:uid="{03F09DA6-29A9-4294-94DB-89E87AB81574}">
      <formula1>$C$118:$C$130</formula1>
    </dataValidation>
    <dataValidation type="list" allowBlank="1" showInputMessage="1" showErrorMessage="1" sqref="C46" xr:uid="{17459FE3-8B4F-45C2-8CF0-2AA878D8A52F}">
      <formula1>$C$38:$C$41</formula1>
    </dataValidation>
    <dataValidation type="list" allowBlank="1" showInputMessage="1" showErrorMessage="1" sqref="C163" xr:uid="{A9A509A3-59D6-406B-A602-1C251459C3C2}">
      <formula1>$C$118:$C$131</formula1>
    </dataValidation>
  </dataValidations>
  <pageMargins left="0.7" right="0.7" top="0.75" bottom="0.75" header="0.3" footer="0.3"/>
  <pageSetup paperSize="9" scale="74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BD517-AB7C-4998-884E-BA3648C05E76}">
  <sheetPr filterMode="1">
    <pageSetUpPr fitToPage="1"/>
  </sheetPr>
  <dimension ref="A1:K224"/>
  <sheetViews>
    <sheetView showGridLines="0" zoomScale="120" zoomScaleNormal="120" workbookViewId="0">
      <pane ySplit="10" topLeftCell="A11" activePane="bottomLeft" state="frozen"/>
      <selection pane="bottomLeft" activeCell="H15" sqref="H15"/>
    </sheetView>
  </sheetViews>
  <sheetFormatPr defaultRowHeight="11.5" x14ac:dyDescent="0.25"/>
  <cols>
    <col min="1" max="1" width="9.09765625" customWidth="1"/>
    <col min="2" max="2" width="2.69921875" style="89" customWidth="1"/>
    <col min="3" max="3" width="72.8984375" bestFit="1" customWidth="1"/>
    <col min="4" max="9" width="15.69921875" customWidth="1"/>
  </cols>
  <sheetData>
    <row r="1" spans="1:11" ht="22.5" x14ac:dyDescent="0.45">
      <c r="A1" s="107" t="s">
        <v>117</v>
      </c>
      <c r="C1" s="29" t="s">
        <v>241</v>
      </c>
      <c r="G1" s="8" t="s">
        <v>242</v>
      </c>
      <c r="H1" s="49"/>
      <c r="I1" s="49"/>
      <c r="J1" s="49"/>
      <c r="K1" s="49"/>
    </row>
    <row r="2" spans="1:11" ht="15.5" x14ac:dyDescent="0.35">
      <c r="A2">
        <v>1</v>
      </c>
      <c r="C2" s="44" t="s">
        <v>65</v>
      </c>
      <c r="G2" s="221" t="s">
        <v>256</v>
      </c>
      <c r="H2" s="221"/>
      <c r="I2" s="221"/>
      <c r="J2" s="49"/>
    </row>
    <row r="3" spans="1:11" x14ac:dyDescent="0.25">
      <c r="A3" s="89">
        <v>1</v>
      </c>
      <c r="C3" t="s">
        <v>67</v>
      </c>
      <c r="D3" s="107">
        <v>8</v>
      </c>
      <c r="E3" s="43" t="s">
        <v>73</v>
      </c>
      <c r="G3" s="49" t="s">
        <v>91</v>
      </c>
      <c r="H3" s="49"/>
      <c r="I3" s="107">
        <v>13.25</v>
      </c>
      <c r="J3" s="49" t="s">
        <v>53</v>
      </c>
    </row>
    <row r="4" spans="1:11" ht="14.5" x14ac:dyDescent="0.35">
      <c r="A4" s="89">
        <v>1</v>
      </c>
      <c r="C4" t="s">
        <v>141</v>
      </c>
      <c r="D4" s="127">
        <v>4.4999999999999998E-2</v>
      </c>
      <c r="E4" t="s">
        <v>75</v>
      </c>
      <c r="F4" s="43"/>
      <c r="G4" s="49" t="s">
        <v>89</v>
      </c>
      <c r="H4" s="49"/>
      <c r="I4" s="107">
        <v>277</v>
      </c>
      <c r="J4" s="49" t="s">
        <v>228</v>
      </c>
    </row>
    <row r="5" spans="1:11" x14ac:dyDescent="0.25">
      <c r="A5" s="89">
        <v>1</v>
      </c>
      <c r="C5" s="8" t="s">
        <v>74</v>
      </c>
      <c r="D5" s="9" t="s">
        <v>27</v>
      </c>
      <c r="E5" s="8" t="str">
        <f>F124</f>
        <v>Delsanering</v>
      </c>
      <c r="G5" s="49" t="s">
        <v>90</v>
      </c>
      <c r="H5" s="49"/>
      <c r="I5" s="107">
        <v>504</v>
      </c>
      <c r="J5" s="49" t="s">
        <v>229</v>
      </c>
    </row>
    <row r="6" spans="1:11" x14ac:dyDescent="0.25">
      <c r="A6" s="89">
        <v>1</v>
      </c>
      <c r="C6" t="s">
        <v>63</v>
      </c>
      <c r="D6" s="4">
        <f>-D120</f>
        <v>-170307.39664638767</v>
      </c>
      <c r="E6" s="4">
        <f>-E120</f>
        <v>-28699.572728206796</v>
      </c>
      <c r="G6" s="49" t="s">
        <v>76</v>
      </c>
      <c r="H6" s="49"/>
      <c r="I6" s="107">
        <v>2.5099999999999998</v>
      </c>
      <c r="J6" s="49" t="s">
        <v>93</v>
      </c>
    </row>
    <row r="7" spans="1:11" x14ac:dyDescent="0.25">
      <c r="A7" s="89">
        <v>1</v>
      </c>
      <c r="C7" t="s">
        <v>191</v>
      </c>
      <c r="D7" s="4">
        <f>E133</f>
        <v>69000</v>
      </c>
      <c r="E7" s="4">
        <f>F133</f>
        <v>-19350</v>
      </c>
      <c r="G7" s="49" t="s">
        <v>78</v>
      </c>
      <c r="H7" s="49"/>
      <c r="I7" s="107">
        <v>4.88</v>
      </c>
      <c r="J7" s="49" t="s">
        <v>93</v>
      </c>
    </row>
    <row r="8" spans="1:11" ht="12" thickBot="1" x14ac:dyDescent="0.3">
      <c r="A8" s="89">
        <v>1</v>
      </c>
      <c r="C8" s="75" t="s">
        <v>28</v>
      </c>
      <c r="D8" s="77">
        <f>IF(E133&gt;0,(D6*-1)/E133,"Aldrig")</f>
        <v>2.4682231398027197</v>
      </c>
      <c r="E8" s="77" t="str">
        <f>IF(F133&gt;0,(E6*-1)/F133,"Aldrig")</f>
        <v>Aldrig</v>
      </c>
      <c r="G8" s="49" t="s">
        <v>79</v>
      </c>
      <c r="H8" s="49"/>
      <c r="I8" s="107">
        <v>3.02</v>
      </c>
      <c r="J8" s="49" t="s">
        <v>93</v>
      </c>
    </row>
    <row r="9" spans="1:11" ht="12.5" thickTop="1" thickBot="1" x14ac:dyDescent="0.3">
      <c r="A9" s="89">
        <v>1</v>
      </c>
      <c r="C9" s="84" t="str">
        <f>"Nutidsværdi saneringsplan efter "&amp;D3&amp;" år"</f>
        <v>Nutidsværdi saneringsplan efter 8 år</v>
      </c>
      <c r="D9" s="85">
        <f>E135</f>
        <v>284808.74200136366</v>
      </c>
      <c r="E9" s="85">
        <f>F135</f>
        <v>-156329.96813159791</v>
      </c>
      <c r="G9" s="49" t="s">
        <v>80</v>
      </c>
      <c r="H9" s="49"/>
      <c r="I9" s="107">
        <v>2.56</v>
      </c>
      <c r="J9" s="49" t="s">
        <v>93</v>
      </c>
    </row>
    <row r="10" spans="1:11" ht="12.5" thickTop="1" thickBot="1" x14ac:dyDescent="0.3">
      <c r="A10" s="103">
        <v>1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</row>
    <row r="11" spans="1:11" ht="22.5" x14ac:dyDescent="0.45">
      <c r="A11" s="89">
        <v>1</v>
      </c>
      <c r="C11" s="29" t="s">
        <v>8</v>
      </c>
    </row>
    <row r="12" spans="1:11" x14ac:dyDescent="0.25">
      <c r="A12" s="89">
        <v>1</v>
      </c>
      <c r="C12" s="8" t="s">
        <v>257</v>
      </c>
    </row>
    <row r="13" spans="1:11" ht="30" customHeight="1" x14ac:dyDescent="0.25">
      <c r="A13" s="89">
        <v>1</v>
      </c>
      <c r="C13" s="222" t="s">
        <v>176</v>
      </c>
      <c r="D13" s="222"/>
      <c r="E13" s="222"/>
      <c r="F13" s="222"/>
      <c r="G13" s="222"/>
      <c r="H13" s="222"/>
      <c r="I13" s="222"/>
      <c r="J13" s="222"/>
    </row>
    <row r="14" spans="1:11" x14ac:dyDescent="0.25">
      <c r="A14" s="89">
        <v>1</v>
      </c>
      <c r="D14" s="31"/>
      <c r="E14" s="31"/>
      <c r="F14" s="31"/>
    </row>
    <row r="15" spans="1:11" x14ac:dyDescent="0.25">
      <c r="A15" s="89">
        <v>1</v>
      </c>
      <c r="C15" s="8" t="s">
        <v>219</v>
      </c>
      <c r="D15" s="223" t="s">
        <v>8</v>
      </c>
      <c r="E15" s="223"/>
      <c r="F15" s="223"/>
    </row>
    <row r="16" spans="1:11" x14ac:dyDescent="0.25">
      <c r="A16" s="89">
        <v>1</v>
      </c>
      <c r="C16" s="107" t="s">
        <v>220</v>
      </c>
    </row>
    <row r="17" spans="1:8" s="93" customFormat="1" ht="12" thickBot="1" x14ac:dyDescent="0.3">
      <c r="A17" s="93">
        <v>1</v>
      </c>
      <c r="C17" s="108" t="s">
        <v>211</v>
      </c>
    </row>
    <row r="18" spans="1:8" ht="12.5" thickTop="1" thickBot="1" x14ac:dyDescent="0.3">
      <c r="A18" s="89">
        <v>1</v>
      </c>
      <c r="C18" s="2" t="s">
        <v>180</v>
      </c>
    </row>
    <row r="19" spans="1:8" s="59" customFormat="1" ht="12" thickTop="1" x14ac:dyDescent="0.25">
      <c r="A19" s="89">
        <v>1</v>
      </c>
      <c r="B19" s="89"/>
    </row>
    <row r="20" spans="1:8" ht="12" thickBot="1" x14ac:dyDescent="0.3">
      <c r="A20" s="89">
        <v>1</v>
      </c>
      <c r="C20" s="8" t="s">
        <v>202</v>
      </c>
    </row>
    <row r="21" spans="1:8" s="59" customFormat="1" ht="58" thickBot="1" x14ac:dyDescent="0.3">
      <c r="A21" s="89">
        <v>1</v>
      </c>
      <c r="B21" s="89"/>
      <c r="C21" s="132" t="s">
        <v>142</v>
      </c>
      <c r="D21" s="135" t="s">
        <v>23</v>
      </c>
      <c r="E21" s="139" t="s">
        <v>57</v>
      </c>
      <c r="F21" s="143" t="s">
        <v>223</v>
      </c>
      <c r="G21" s="143" t="s">
        <v>243</v>
      </c>
      <c r="H21" s="134" t="s">
        <v>260</v>
      </c>
    </row>
    <row r="22" spans="1:8" s="59" customFormat="1" ht="12" thickBot="1" x14ac:dyDescent="0.3">
      <c r="A22" s="89">
        <v>1</v>
      </c>
      <c r="B22" s="89"/>
      <c r="C22" s="117" t="s">
        <v>25</v>
      </c>
      <c r="D22" s="136" t="s">
        <v>7</v>
      </c>
      <c r="E22" s="140" t="s">
        <v>10</v>
      </c>
      <c r="F22" s="144">
        <v>1</v>
      </c>
      <c r="G22" s="146">
        <v>0.25</v>
      </c>
      <c r="H22" s="130">
        <f>IF(E22="Ja",0,IF(AND(D22="Nej",E22="Nej"),100%,G22))</f>
        <v>0.25</v>
      </c>
    </row>
    <row r="23" spans="1:8" s="59" customFormat="1" ht="12.5" thickTop="1" thickBot="1" x14ac:dyDescent="0.3">
      <c r="A23" s="89">
        <v>1</v>
      </c>
      <c r="B23" s="89"/>
      <c r="C23" s="117" t="s">
        <v>26</v>
      </c>
      <c r="D23" s="137" t="s">
        <v>7</v>
      </c>
      <c r="E23" s="141" t="s">
        <v>10</v>
      </c>
      <c r="F23" s="144">
        <v>1</v>
      </c>
      <c r="G23" s="146">
        <v>2.5000000000000001E-2</v>
      </c>
      <c r="H23" s="130">
        <f t="shared" ref="H23:H24" si="0">IF(E23="Ja",0,IF(AND(D23="Nej",E23="Nej"),100%,G23))</f>
        <v>2.5000000000000001E-2</v>
      </c>
    </row>
    <row r="24" spans="1:8" s="59" customFormat="1" ht="12.5" thickTop="1" thickBot="1" x14ac:dyDescent="0.3">
      <c r="A24" s="89">
        <v>1</v>
      </c>
      <c r="B24" s="89"/>
      <c r="C24" s="121" t="s">
        <v>24</v>
      </c>
      <c r="D24" s="138" t="s">
        <v>7</v>
      </c>
      <c r="E24" s="142" t="s">
        <v>10</v>
      </c>
      <c r="F24" s="145">
        <v>1</v>
      </c>
      <c r="G24" s="147">
        <v>0.33</v>
      </c>
      <c r="H24" s="131">
        <f t="shared" si="0"/>
        <v>0.33</v>
      </c>
    </row>
    <row r="25" spans="1:8" s="59" customFormat="1" x14ac:dyDescent="0.25">
      <c r="A25" s="89">
        <v>1</v>
      </c>
      <c r="B25" s="89"/>
    </row>
    <row r="26" spans="1:8" s="89" customFormat="1" ht="23" hidden="1" x14ac:dyDescent="0.25">
      <c r="A26" s="89">
        <v>0</v>
      </c>
      <c r="C26" s="9" t="s">
        <v>61</v>
      </c>
      <c r="D26" s="1" t="s">
        <v>38</v>
      </c>
      <c r="E26" s="1" t="s">
        <v>151</v>
      </c>
      <c r="F26" s="1" t="s">
        <v>149</v>
      </c>
      <c r="G26" s="1" t="s">
        <v>52</v>
      </c>
    </row>
    <row r="27" spans="1:8" s="89" customFormat="1" hidden="1" x14ac:dyDescent="0.25">
      <c r="A27" s="89">
        <v>0</v>
      </c>
      <c r="C27" t="s">
        <v>25</v>
      </c>
      <c r="D27" s="30">
        <v>8</v>
      </c>
      <c r="E27" s="10">
        <v>0.5</v>
      </c>
      <c r="F27" s="30">
        <f>D27*E27</f>
        <v>4</v>
      </c>
      <c r="G27" s="30">
        <f>D27-F27</f>
        <v>4</v>
      </c>
    </row>
    <row r="28" spans="1:8" s="89" customFormat="1" hidden="1" x14ac:dyDescent="0.25">
      <c r="A28" s="89">
        <v>0</v>
      </c>
      <c r="C28" t="s">
        <v>26</v>
      </c>
      <c r="D28" s="30">
        <f>10</f>
        <v>10</v>
      </c>
      <c r="E28" s="10">
        <v>0.5</v>
      </c>
      <c r="F28" s="30">
        <f t="shared" ref="F28:F29" si="1">D28*E28</f>
        <v>5</v>
      </c>
      <c r="G28" s="30">
        <f t="shared" ref="G28:G29" si="2">D28-F28</f>
        <v>5</v>
      </c>
    </row>
    <row r="29" spans="1:8" s="89" customFormat="1" hidden="1" x14ac:dyDescent="0.25">
      <c r="A29" s="89">
        <v>0</v>
      </c>
      <c r="C29" t="s">
        <v>105</v>
      </c>
      <c r="D29" s="30">
        <v>3</v>
      </c>
      <c r="E29" s="10">
        <v>0</v>
      </c>
      <c r="F29" s="30">
        <f t="shared" si="1"/>
        <v>0</v>
      </c>
      <c r="G29" s="30">
        <f t="shared" si="2"/>
        <v>3</v>
      </c>
    </row>
    <row r="30" spans="1:8" s="89" customFormat="1" x14ac:dyDescent="0.25">
      <c r="A30" s="89">
        <v>1</v>
      </c>
      <c r="C30" s="89" t="s">
        <v>261</v>
      </c>
    </row>
    <row r="31" spans="1:8" s="59" customFormat="1" x14ac:dyDescent="0.25">
      <c r="A31" s="89">
        <v>1</v>
      </c>
      <c r="B31" s="89"/>
    </row>
    <row r="32" spans="1:8" s="59" customFormat="1" ht="12" thickBot="1" x14ac:dyDescent="0.3">
      <c r="A32" s="89">
        <v>1</v>
      </c>
      <c r="B32" s="89"/>
    </row>
    <row r="33" spans="1:10" ht="12" thickBot="1" x14ac:dyDescent="0.3">
      <c r="A33" s="89">
        <v>1</v>
      </c>
      <c r="C33" s="164" t="s">
        <v>143</v>
      </c>
      <c r="D33" s="115"/>
      <c r="E33" s="115"/>
      <c r="F33" s="115"/>
      <c r="G33" s="115"/>
      <c r="H33" s="165"/>
    </row>
    <row r="34" spans="1:10" ht="46.5" thickBot="1" x14ac:dyDescent="0.3">
      <c r="A34" s="89">
        <v>1</v>
      </c>
      <c r="C34" s="132" t="s">
        <v>199</v>
      </c>
      <c r="D34" s="133" t="s">
        <v>11</v>
      </c>
      <c r="E34" s="133" t="s">
        <v>224</v>
      </c>
      <c r="F34" s="133" t="s">
        <v>244</v>
      </c>
      <c r="G34" s="133" t="str">
        <f>"+/- tabte uger til alle forslag totalsanering"</f>
        <v>+/- tabte uger til alle forslag totalsanering</v>
      </c>
      <c r="H34" s="134" t="s">
        <v>150</v>
      </c>
    </row>
    <row r="35" spans="1:10" x14ac:dyDescent="0.25">
      <c r="A35" s="89">
        <v>1</v>
      </c>
      <c r="C35" s="117" t="s">
        <v>1</v>
      </c>
      <c r="D35" s="149">
        <f>0*1000/1.5</f>
        <v>0</v>
      </c>
      <c r="E35" s="149">
        <v>8</v>
      </c>
      <c r="F35" s="149">
        <v>1</v>
      </c>
      <c r="G35" s="149">
        <v>0</v>
      </c>
      <c r="H35" s="150">
        <f>0.3</f>
        <v>0.3</v>
      </c>
      <c r="I35" s="4"/>
    </row>
    <row r="36" spans="1:10" ht="12" thickBot="1" x14ac:dyDescent="0.3">
      <c r="A36" s="89">
        <v>1</v>
      </c>
      <c r="C36" s="121" t="s">
        <v>2</v>
      </c>
      <c r="D36" s="123">
        <v>1000</v>
      </c>
      <c r="E36" s="123">
        <v>12</v>
      </c>
      <c r="F36" s="123">
        <v>1</v>
      </c>
      <c r="G36" s="123">
        <v>0</v>
      </c>
      <c r="H36" s="148">
        <v>0.65</v>
      </c>
    </row>
    <row r="37" spans="1:10" s="59" customFormat="1" x14ac:dyDescent="0.25">
      <c r="A37" s="89">
        <v>1</v>
      </c>
      <c r="B37" s="89"/>
      <c r="C37" s="117"/>
      <c r="D37" s="50"/>
      <c r="E37" s="50"/>
      <c r="F37" s="50"/>
      <c r="G37" s="50"/>
      <c r="H37" s="166"/>
    </row>
    <row r="38" spans="1:10" x14ac:dyDescent="0.25">
      <c r="A38" s="89">
        <v>1</v>
      </c>
      <c r="C38" s="117" t="s">
        <v>195</v>
      </c>
      <c r="D38" s="171">
        <f>((52/E35)*D35)/((52/E36)*D36)</f>
        <v>0</v>
      </c>
      <c r="E38" s="50"/>
      <c r="F38" s="50"/>
      <c r="G38" s="50"/>
      <c r="H38" s="166"/>
    </row>
    <row r="39" spans="1:10" x14ac:dyDescent="0.25">
      <c r="A39" s="89">
        <v>1</v>
      </c>
      <c r="C39" s="117"/>
      <c r="D39" s="171"/>
      <c r="E39" s="50"/>
      <c r="F39" s="50"/>
      <c r="G39" s="50"/>
      <c r="H39" s="166"/>
    </row>
    <row r="40" spans="1:10" x14ac:dyDescent="0.25">
      <c r="A40" s="89">
        <v>1</v>
      </c>
      <c r="C40" s="170" t="s">
        <v>54</v>
      </c>
      <c r="D40" s="50"/>
      <c r="E40" s="50"/>
      <c r="F40" s="50"/>
      <c r="G40" s="50"/>
      <c r="H40" s="166"/>
    </row>
    <row r="41" spans="1:10" x14ac:dyDescent="0.25">
      <c r="A41" s="89">
        <v>1</v>
      </c>
      <c r="C41" s="172" t="s">
        <v>59</v>
      </c>
      <c r="D41" s="3"/>
      <c r="E41" s="3"/>
      <c r="F41" s="119">
        <v>1</v>
      </c>
      <c r="G41" s="50"/>
      <c r="H41" s="166"/>
    </row>
    <row r="42" spans="1:10" ht="12" thickBot="1" x14ac:dyDescent="0.3">
      <c r="A42" s="89">
        <v>1</v>
      </c>
      <c r="C42" s="121" t="s">
        <v>262</v>
      </c>
      <c r="D42" s="20"/>
      <c r="E42" s="20"/>
      <c r="F42" s="173" t="s">
        <v>7</v>
      </c>
      <c r="G42" s="20"/>
      <c r="H42" s="168"/>
    </row>
    <row r="43" spans="1:10" s="93" customFormat="1" ht="12" thickBot="1" x14ac:dyDescent="0.3">
      <c r="C43" s="50"/>
      <c r="D43" s="50"/>
    </row>
    <row r="44" spans="1:10" s="89" customFormat="1" ht="12" thickBot="1" x14ac:dyDescent="0.3">
      <c r="A44" s="89">
        <v>1</v>
      </c>
      <c r="C44" s="224" t="s">
        <v>245</v>
      </c>
      <c r="D44" s="225"/>
      <c r="E44" s="225"/>
      <c r="F44" s="225"/>
      <c r="G44" s="225"/>
      <c r="H44" s="225"/>
      <c r="I44" s="226"/>
      <c r="J44" s="167"/>
    </row>
    <row r="45" spans="1:10" s="89" customFormat="1" ht="57.5" x14ac:dyDescent="0.25">
      <c r="A45" s="89">
        <v>1</v>
      </c>
      <c r="C45" s="125" t="s">
        <v>152</v>
      </c>
      <c r="D45" s="114" t="s">
        <v>246</v>
      </c>
      <c r="E45" s="114" t="str">
        <f>"+/- endelig korrektion totalsaneringstab i hele uger"</f>
        <v>+/- endelig korrektion totalsaneringstab i hele uger</v>
      </c>
      <c r="F45" s="126"/>
      <c r="G45" s="116" t="s">
        <v>263</v>
      </c>
      <c r="H45" s="50"/>
      <c r="I45" s="166"/>
    </row>
    <row r="46" spans="1:10" s="89" customFormat="1" x14ac:dyDescent="0.25">
      <c r="A46" s="89">
        <v>1</v>
      </c>
      <c r="C46" s="117" t="s">
        <v>50</v>
      </c>
      <c r="D46" s="118">
        <f>IF(D35&gt;0,E35+(F41+1)-F35+G35+E46,0)</f>
        <v>0</v>
      </c>
      <c r="E46" s="119">
        <v>0</v>
      </c>
      <c r="F46" s="50"/>
      <c r="G46" s="120">
        <v>2</v>
      </c>
      <c r="H46" s="50"/>
      <c r="I46" s="166"/>
    </row>
    <row r="47" spans="1:10" s="89" customFormat="1" ht="12" thickBot="1" x14ac:dyDescent="0.3">
      <c r="A47" s="89">
        <v>1</v>
      </c>
      <c r="C47" s="121" t="s">
        <v>51</v>
      </c>
      <c r="D47" s="122">
        <f>E36+(F41+1)-F36+IF(F42="Nej",1,0)*D38*D46+G35*D36+G36+E47</f>
        <v>13</v>
      </c>
      <c r="E47" s="123">
        <v>0</v>
      </c>
      <c r="F47" s="20"/>
      <c r="G47" s="124">
        <v>2</v>
      </c>
      <c r="H47" s="20"/>
      <c r="I47" s="168"/>
    </row>
    <row r="48" spans="1:10" s="89" customFormat="1" ht="12" thickBot="1" x14ac:dyDescent="0.3">
      <c r="A48" s="89">
        <v>1</v>
      </c>
    </row>
    <row r="49" spans="1:9" s="59" customFormat="1" ht="12" thickBot="1" x14ac:dyDescent="0.3">
      <c r="A49" s="89">
        <v>1</v>
      </c>
      <c r="B49" s="89"/>
      <c r="C49" s="164" t="s">
        <v>144</v>
      </c>
      <c r="D49" s="115"/>
      <c r="E49" s="115"/>
      <c r="F49" s="115"/>
      <c r="G49" s="115"/>
      <c r="H49" s="115"/>
      <c r="I49" s="165"/>
    </row>
    <row r="50" spans="1:9" s="89" customFormat="1" ht="12.5" thickTop="1" thickBot="1" x14ac:dyDescent="0.3">
      <c r="A50" s="89">
        <v>1</v>
      </c>
      <c r="C50" s="117" t="s">
        <v>264</v>
      </c>
      <c r="D50" s="128" t="s">
        <v>7</v>
      </c>
      <c r="E50" s="50"/>
      <c r="F50" s="50"/>
      <c r="G50" s="50"/>
      <c r="H50" s="50"/>
      <c r="I50" s="166"/>
    </row>
    <row r="51" spans="1:9" s="89" customFormat="1" ht="12.5" thickTop="1" thickBot="1" x14ac:dyDescent="0.3">
      <c r="A51" s="89">
        <v>1</v>
      </c>
      <c r="C51" s="151"/>
      <c r="D51" s="50"/>
      <c r="E51" s="50"/>
      <c r="F51" s="50"/>
      <c r="G51" s="50"/>
      <c r="H51" s="50"/>
      <c r="I51" s="166"/>
    </row>
    <row r="52" spans="1:9" s="59" customFormat="1" ht="46.5" thickBot="1" x14ac:dyDescent="0.3">
      <c r="A52" s="89">
        <v>1</v>
      </c>
      <c r="B52" s="89"/>
      <c r="C52" s="159"/>
      <c r="D52" s="132" t="s">
        <v>118</v>
      </c>
      <c r="E52" s="133" t="s">
        <v>145</v>
      </c>
      <c r="F52" s="133" t="s">
        <v>200</v>
      </c>
      <c r="G52" s="133" t="s">
        <v>119</v>
      </c>
      <c r="H52" s="160" t="s">
        <v>247</v>
      </c>
      <c r="I52" s="134" t="s">
        <v>147</v>
      </c>
    </row>
    <row r="53" spans="1:9" s="59" customFormat="1" x14ac:dyDescent="0.25">
      <c r="A53" s="89">
        <v>1</v>
      </c>
      <c r="B53" s="89"/>
      <c r="C53" s="151" t="s">
        <v>27</v>
      </c>
      <c r="D53" s="117">
        <f>D35*H35+D36*H36</f>
        <v>650</v>
      </c>
      <c r="E53" s="161">
        <f>1.75*2+IF(D50="Ja",2)</f>
        <v>5.5</v>
      </c>
      <c r="F53" s="39">
        <f>D53*E53/60</f>
        <v>59.583333333333336</v>
      </c>
      <c r="G53" s="149">
        <v>0</v>
      </c>
      <c r="H53" s="158">
        <f>IF(D49="Ja",5,4*0.4*(15*2.6)/115)</f>
        <v>0.54260869565217396</v>
      </c>
      <c r="I53" s="152">
        <f>G53+H53*D53</f>
        <v>352.69565217391306</v>
      </c>
    </row>
    <row r="54" spans="1:9" s="59" customFormat="1" ht="12" thickBot="1" x14ac:dyDescent="0.3">
      <c r="A54" s="89">
        <v>1</v>
      </c>
      <c r="B54" s="89"/>
      <c r="C54" s="153" t="s">
        <v>3</v>
      </c>
      <c r="D54" s="162">
        <f>D53</f>
        <v>650</v>
      </c>
      <c r="E54" s="163">
        <v>3.5</v>
      </c>
      <c r="F54" s="154">
        <f>D54*E54/60</f>
        <v>37.916666666666664</v>
      </c>
      <c r="G54" s="123">
        <v>0</v>
      </c>
      <c r="H54" s="157">
        <f>4*0.4*(15*2.6)/115</f>
        <v>0.54260869565217396</v>
      </c>
      <c r="I54" s="156">
        <f>G54+H54*D54</f>
        <v>352.69565217391306</v>
      </c>
    </row>
    <row r="55" spans="1:9" s="59" customFormat="1" ht="12" thickBot="1" x14ac:dyDescent="0.3">
      <c r="A55" s="89">
        <v>1</v>
      </c>
      <c r="B55" s="89"/>
      <c r="C55" s="52"/>
    </row>
    <row r="56" spans="1:9" s="59" customFormat="1" x14ac:dyDescent="0.25">
      <c r="A56" s="89">
        <v>1</v>
      </c>
      <c r="B56" s="89"/>
      <c r="C56" s="113" t="s">
        <v>201</v>
      </c>
      <c r="D56" s="115"/>
      <c r="E56" s="115"/>
      <c r="F56" s="115"/>
      <c r="G56" s="115"/>
      <c r="H56" s="115"/>
      <c r="I56" s="165"/>
    </row>
    <row r="57" spans="1:9" x14ac:dyDescent="0.25">
      <c r="A57" s="89">
        <v>1</v>
      </c>
      <c r="C57" s="117" t="s">
        <v>248</v>
      </c>
      <c r="D57" s="169">
        <f>D36*(52/E36)*6000/10000</f>
        <v>2600</v>
      </c>
      <c r="E57" s="50"/>
      <c r="F57" s="50"/>
      <c r="G57" s="50"/>
      <c r="H57" s="50"/>
      <c r="I57" s="166"/>
    </row>
    <row r="58" spans="1:9" x14ac:dyDescent="0.25">
      <c r="A58" s="89">
        <v>1</v>
      </c>
      <c r="C58" s="117" t="s">
        <v>265</v>
      </c>
      <c r="D58" s="169">
        <f>17000</f>
        <v>17000</v>
      </c>
      <c r="E58" s="50"/>
      <c r="F58" s="50"/>
      <c r="G58" s="50"/>
      <c r="H58" s="50"/>
      <c r="I58" s="166"/>
    </row>
    <row r="59" spans="1:9" s="89" customFormat="1" x14ac:dyDescent="0.25">
      <c r="A59" s="89">
        <v>1</v>
      </c>
      <c r="C59" s="117"/>
      <c r="D59" s="50"/>
      <c r="E59" s="50"/>
      <c r="F59" s="50"/>
      <c r="G59" s="50"/>
      <c r="H59" s="50"/>
      <c r="I59" s="166"/>
    </row>
    <row r="60" spans="1:9" x14ac:dyDescent="0.25">
      <c r="A60" s="89">
        <v>1</v>
      </c>
      <c r="C60" s="170" t="s">
        <v>250</v>
      </c>
      <c r="D60" s="50"/>
      <c r="E60" s="50"/>
      <c r="F60" s="50"/>
      <c r="G60" s="50"/>
      <c r="H60" s="50"/>
      <c r="I60" s="166"/>
    </row>
    <row r="61" spans="1:9" x14ac:dyDescent="0.25">
      <c r="A61" s="89">
        <v>1</v>
      </c>
      <c r="C61" s="117" t="s">
        <v>196</v>
      </c>
      <c r="D61" s="119">
        <f>-0.2*1*0</f>
        <v>0</v>
      </c>
      <c r="E61" s="50" t="s">
        <v>53</v>
      </c>
      <c r="F61" s="50" t="s">
        <v>249</v>
      </c>
      <c r="G61" s="50"/>
      <c r="H61" s="50"/>
      <c r="I61" s="166"/>
    </row>
    <row r="62" spans="1:9" ht="12" thickBot="1" x14ac:dyDescent="0.3">
      <c r="A62" s="89">
        <v>1</v>
      </c>
      <c r="C62" s="121" t="s">
        <v>266</v>
      </c>
      <c r="D62" s="123">
        <f>D60*D61*0.5</f>
        <v>0</v>
      </c>
      <c r="E62" s="20" t="s">
        <v>62</v>
      </c>
      <c r="F62" s="20"/>
      <c r="G62" s="20"/>
      <c r="H62" s="20"/>
      <c r="I62" s="168"/>
    </row>
    <row r="63" spans="1:9" s="49" customFormat="1" x14ac:dyDescent="0.25">
      <c r="A63" s="89">
        <v>1</v>
      </c>
      <c r="B63" s="89"/>
    </row>
    <row r="64" spans="1:9" s="49" customFormat="1" x14ac:dyDescent="0.25">
      <c r="A64" s="89">
        <v>1</v>
      </c>
      <c r="B64" s="89"/>
    </row>
    <row r="65" spans="1:5" s="49" customFormat="1" x14ac:dyDescent="0.25">
      <c r="A65" s="89">
        <v>1</v>
      </c>
      <c r="B65" s="89"/>
    </row>
    <row r="66" spans="1:5" s="49" customFormat="1" x14ac:dyDescent="0.25">
      <c r="A66" s="89">
        <v>1</v>
      </c>
      <c r="B66" s="89"/>
      <c r="C66" s="8" t="s">
        <v>251</v>
      </c>
    </row>
    <row r="67" spans="1:5" s="49" customFormat="1" x14ac:dyDescent="0.25">
      <c r="A67" s="89">
        <v>1</v>
      </c>
      <c r="B67" s="89"/>
      <c r="C67" s="47"/>
      <c r="D67" s="60" t="s">
        <v>15</v>
      </c>
      <c r="E67" s="60" t="s">
        <v>16</v>
      </c>
    </row>
    <row r="68" spans="1:5" s="49" customFormat="1" x14ac:dyDescent="0.25">
      <c r="A68" s="89">
        <v>1</v>
      </c>
      <c r="B68" s="89"/>
      <c r="C68" s="47" t="s">
        <v>56</v>
      </c>
      <c r="D68" s="47"/>
      <c r="E68" s="107">
        <f>86.5</f>
        <v>86.5</v>
      </c>
    </row>
    <row r="69" spans="1:5" s="49" customFormat="1" x14ac:dyDescent="0.25">
      <c r="A69" s="89">
        <v>1</v>
      </c>
      <c r="B69" s="89"/>
      <c r="C69" s="47" t="s">
        <v>96</v>
      </c>
      <c r="D69" s="107">
        <v>7</v>
      </c>
      <c r="E69" s="53">
        <f>D70</f>
        <v>28</v>
      </c>
    </row>
    <row r="70" spans="1:5" s="49" customFormat="1" x14ac:dyDescent="0.25">
      <c r="A70" s="89">
        <v>1</v>
      </c>
      <c r="B70" s="89"/>
      <c r="C70" s="47" t="s">
        <v>97</v>
      </c>
      <c r="D70" s="107">
        <v>28</v>
      </c>
      <c r="E70" s="54">
        <f>E68*1.31</f>
        <v>113.315</v>
      </c>
    </row>
    <row r="71" spans="1:5" s="49" customFormat="1" x14ac:dyDescent="0.25">
      <c r="A71" s="89">
        <v>1</v>
      </c>
      <c r="B71" s="89"/>
      <c r="C71" s="47" t="s">
        <v>71</v>
      </c>
      <c r="D71" s="107">
        <f>1.81+0.05</f>
        <v>1.86</v>
      </c>
      <c r="E71" s="107">
        <v>2.61</v>
      </c>
    </row>
    <row r="72" spans="1:5" s="49" customFormat="1" x14ac:dyDescent="0.25">
      <c r="A72" s="89">
        <v>1</v>
      </c>
      <c r="B72" s="89"/>
      <c r="C72" s="47" t="s">
        <v>230</v>
      </c>
      <c r="D72" s="107">
        <f>I7+0.05</f>
        <v>4.93</v>
      </c>
      <c r="E72" s="47"/>
    </row>
    <row r="73" spans="1:5" s="49" customFormat="1" x14ac:dyDescent="0.25">
      <c r="A73" s="89">
        <v>1</v>
      </c>
      <c r="B73" s="89"/>
      <c r="C73" s="47" t="s">
        <v>158</v>
      </c>
      <c r="D73" s="107">
        <f>I8+0.05</f>
        <v>3.07</v>
      </c>
      <c r="E73" s="47"/>
    </row>
    <row r="74" spans="1:5" s="49" customFormat="1" x14ac:dyDescent="0.25">
      <c r="A74" s="89">
        <v>1</v>
      </c>
      <c r="B74" s="89"/>
      <c r="C74" s="47" t="s">
        <v>157</v>
      </c>
      <c r="D74" s="47"/>
      <c r="E74" s="107">
        <f>I9+0.05</f>
        <v>2.61</v>
      </c>
    </row>
    <row r="75" spans="1:5" s="49" customFormat="1" x14ac:dyDescent="0.25">
      <c r="A75" s="89">
        <v>1</v>
      </c>
      <c r="B75" s="89"/>
      <c r="C75" s="58" t="s">
        <v>81</v>
      </c>
      <c r="D75" s="110">
        <v>3.3000000000000002E-2</v>
      </c>
      <c r="E75" s="110">
        <v>3.3000000000000002E-2</v>
      </c>
    </row>
    <row r="76" spans="1:5" s="49" customFormat="1" x14ac:dyDescent="0.25">
      <c r="A76" s="89">
        <v>1</v>
      </c>
      <c r="B76" s="89"/>
    </row>
    <row r="77" spans="1:5" s="49" customFormat="1" x14ac:dyDescent="0.25">
      <c r="A77" s="89">
        <v>1</v>
      </c>
      <c r="B77" s="89"/>
      <c r="C77" s="52" t="s">
        <v>252</v>
      </c>
      <c r="D77" s="38" t="s">
        <v>15</v>
      </c>
      <c r="E77" s="52" t="s">
        <v>16</v>
      </c>
    </row>
    <row r="78" spans="1:5" s="49" customFormat="1" x14ac:dyDescent="0.25">
      <c r="A78" s="89">
        <v>1</v>
      </c>
      <c r="B78" s="89"/>
      <c r="C78" s="41" t="s">
        <v>99</v>
      </c>
      <c r="D78" s="51">
        <f>VLOOKUP(D70,$C$201:$H$207,4,TRUE)-(VLOOKUP(D70,$C$201:$H$207,2,TRUE)-D70)*VLOOKUP(D70,$C$201:$H$207,5,TRUE)+D79</f>
        <v>489.83304805793279</v>
      </c>
      <c r="E78" s="51">
        <f>(I3+(0.12+1.3))*E68+E79</f>
        <v>1268.9549999999999</v>
      </c>
    </row>
    <row r="79" spans="1:5" s="49" customFormat="1" x14ac:dyDescent="0.25">
      <c r="A79" s="89">
        <v>1</v>
      </c>
      <c r="B79" s="89"/>
      <c r="C79" s="41" t="str">
        <f>" +/- egenkorrektion per grise salg"</f>
        <v xml:space="preserve"> +/- egenkorrektion per grise salg</v>
      </c>
      <c r="D79" s="107">
        <v>0</v>
      </c>
      <c r="E79" s="107">
        <v>0</v>
      </c>
    </row>
    <row r="80" spans="1:5" s="49" customFormat="1" x14ac:dyDescent="0.25">
      <c r="A80" s="89">
        <v>1</v>
      </c>
      <c r="B80" s="89"/>
      <c r="C80" s="41" t="s">
        <v>102</v>
      </c>
      <c r="D80" s="55">
        <f>VLOOKUP(D69,$C$201:$H$207,4,TRUE)-(VLOOKUP(D69,$C$201:$H$207,2,TRUE)-D69)*VLOOKUP(D69,$C$201:$H$207,5,TRUE)</f>
        <v>277</v>
      </c>
      <c r="E80" s="55">
        <f>VLOOKUP(E69,$C$201:$H$207,4,TRUE)-(VLOOKUP(E69,$C$201:$H$207,2,TRUE)-E69)*VLOOKUP(E69,$C$201:$H$207,5,TRUE)</f>
        <v>489.83304805793279</v>
      </c>
    </row>
    <row r="81" spans="1:6" s="49" customFormat="1" x14ac:dyDescent="0.25">
      <c r="A81" s="89">
        <v>1</v>
      </c>
      <c r="B81" s="89"/>
      <c r="C81" s="41" t="str">
        <f>" +/- egenkorrektion tillæg per gris køb"</f>
        <v xml:space="preserve"> +/- egenkorrektion tillæg per gris køb</v>
      </c>
      <c r="D81" s="107">
        <v>5</v>
      </c>
      <c r="E81" s="108">
        <f>D79</f>
        <v>0</v>
      </c>
    </row>
    <row r="82" spans="1:6" s="49" customFormat="1" x14ac:dyDescent="0.25">
      <c r="A82" s="89">
        <v>1</v>
      </c>
      <c r="B82" s="89"/>
      <c r="C82" s="41" t="s">
        <v>103</v>
      </c>
      <c r="D82" s="55">
        <f>SUM(D80:D81)/(1-D75)</f>
        <v>291.62357807652535</v>
      </c>
      <c r="E82" s="55">
        <f>SUM(E80:E81)/(1-E75)</f>
        <v>506.54917069072678</v>
      </c>
    </row>
    <row r="83" spans="1:6" s="49" customFormat="1" x14ac:dyDescent="0.25">
      <c r="A83" s="89">
        <v>1</v>
      </c>
      <c r="B83" s="89"/>
      <c r="C83" s="41" t="s">
        <v>104</v>
      </c>
      <c r="D83" s="51">
        <f>(IF((D70-D69)*D71&gt;7,((D70-D69)*D71-7)*D73+7*D72,(D70-D69)*D71*D72))/(1-D75/2)</f>
        <v>135.1644128113879</v>
      </c>
      <c r="E83" s="51">
        <f>((E70-E69)*E71*E74)/(1-E75/2)</f>
        <v>590.9245668530757</v>
      </c>
    </row>
    <row r="84" spans="1:6" s="49" customFormat="1" ht="12" thickBot="1" x14ac:dyDescent="0.3">
      <c r="A84" s="89">
        <v>1</v>
      </c>
      <c r="B84" s="89"/>
      <c r="C84" s="56" t="s">
        <v>160</v>
      </c>
      <c r="D84" s="107">
        <v>12</v>
      </c>
      <c r="E84" s="107">
        <v>17</v>
      </c>
    </row>
    <row r="85" spans="1:6" s="49" customFormat="1" ht="12" thickBot="1" x14ac:dyDescent="0.3">
      <c r="A85" s="89">
        <v>1</v>
      </c>
      <c r="B85" s="89"/>
      <c r="C85" s="57" t="s">
        <v>101</v>
      </c>
      <c r="D85" s="88">
        <f>D78-SUM(D82:D84)</f>
        <v>51.045057170019561</v>
      </c>
      <c r="E85" s="88">
        <f>E78-SUM(E82:E84)</f>
        <v>154.48126245619733</v>
      </c>
    </row>
    <row r="86" spans="1:6" s="49" customFormat="1" ht="12" thickTop="1" x14ac:dyDescent="0.25">
      <c r="A86" s="89">
        <v>1</v>
      </c>
      <c r="B86" s="89"/>
    </row>
    <row r="87" spans="1:6" s="89" customFormat="1" x14ac:dyDescent="0.25">
      <c r="A87" s="89">
        <v>1</v>
      </c>
    </row>
    <row r="88" spans="1:6" s="89" customFormat="1" x14ac:dyDescent="0.25">
      <c r="A88" s="89">
        <v>1</v>
      </c>
      <c r="C88" s="8" t="s">
        <v>197</v>
      </c>
      <c r="D88" s="9" t="s">
        <v>9</v>
      </c>
      <c r="E88" s="9" t="s">
        <v>27</v>
      </c>
      <c r="F88" s="9" t="s">
        <v>3</v>
      </c>
    </row>
    <row r="89" spans="1:6" s="89" customFormat="1" x14ac:dyDescent="0.25">
      <c r="A89" s="89">
        <v>1</v>
      </c>
      <c r="C89" s="81" t="s">
        <v>154</v>
      </c>
      <c r="D89" s="35">
        <f>IF(D22="Nej",$F27,0)+IF(D23="Nej",$F28,0)+IF(D24="Nej",$F29,0)</f>
        <v>0</v>
      </c>
      <c r="E89" s="35">
        <f>IF(E22="Nej",$F27,0)+IF(E23="Nej",$F28,0)+IF(E24="Nej",$F29,0)</f>
        <v>9</v>
      </c>
      <c r="F89" s="35">
        <f>E89</f>
        <v>9</v>
      </c>
    </row>
    <row r="90" spans="1:6" s="89" customFormat="1" x14ac:dyDescent="0.25">
      <c r="A90" s="89">
        <v>1</v>
      </c>
      <c r="C90" s="81" t="str">
        <f>"+/- egne tillæg i kr. per smågrise indkøbt"</f>
        <v>+/- egne tillæg i kr. per smågrise indkøbt</v>
      </c>
      <c r="D90" s="107">
        <v>0</v>
      </c>
      <c r="E90" s="107">
        <v>0</v>
      </c>
      <c r="F90" s="107">
        <v>0</v>
      </c>
    </row>
    <row r="91" spans="1:6" s="89" customFormat="1" x14ac:dyDescent="0.25">
      <c r="A91" s="89">
        <v>1</v>
      </c>
      <c r="C91" s="86"/>
      <c r="D91" s="36"/>
      <c r="E91" s="36"/>
      <c r="F91" s="36"/>
    </row>
    <row r="92" spans="1:6" s="89" customFormat="1" x14ac:dyDescent="0.25">
      <c r="A92" s="89">
        <v>1</v>
      </c>
      <c r="C92" s="87"/>
      <c r="D92" s="39"/>
      <c r="E92" s="39"/>
      <c r="F92"/>
    </row>
    <row r="93" spans="1:6" s="89" customFormat="1" x14ac:dyDescent="0.25">
      <c r="A93" s="89">
        <v>1</v>
      </c>
      <c r="C93" s="8" t="s">
        <v>66</v>
      </c>
      <c r="D93" s="9" t="s">
        <v>9</v>
      </c>
      <c r="E93" s="9" t="s">
        <v>27</v>
      </c>
      <c r="F93" s="9" t="s">
        <v>3</v>
      </c>
    </row>
    <row r="94" spans="1:6" s="89" customFormat="1" x14ac:dyDescent="0.25">
      <c r="A94" s="89">
        <v>1</v>
      </c>
      <c r="C94" s="81" t="s">
        <v>155</v>
      </c>
      <c r="D94" s="91">
        <f>IF(D22="Nej",$D27,0)+IF(D23="Nej",$D28,0)+IF(D24="Nej",$D29,0)</f>
        <v>0</v>
      </c>
      <c r="E94" s="91">
        <f>IF(E22="Nej",$D27*F22,0)+IF(E23="Nej",$D28*F23,0)+IF(E24="Nej",$D29*F24,0)</f>
        <v>21</v>
      </c>
      <c r="F94" s="91">
        <f>H22*D27+H23*D28+H24*D29</f>
        <v>3.24</v>
      </c>
    </row>
    <row r="95" spans="1:6" s="89" customFormat="1" x14ac:dyDescent="0.25">
      <c r="A95" s="89">
        <v>1</v>
      </c>
      <c r="C95" s="81" t="str">
        <f>"+/- egne værdi korrektioner i kr. per slagtegris"</f>
        <v>+/- egne værdi korrektioner i kr. per slagtegris</v>
      </c>
      <c r="D95" s="107">
        <v>0</v>
      </c>
      <c r="E95" s="107">
        <v>0</v>
      </c>
      <c r="F95" s="107">
        <v>0</v>
      </c>
    </row>
    <row r="96" spans="1:6" s="89" customFormat="1" x14ac:dyDescent="0.25">
      <c r="A96" s="89">
        <v>1</v>
      </c>
    </row>
    <row r="97" spans="1:7" s="49" customFormat="1" ht="20" x14ac:dyDescent="0.4">
      <c r="A97" s="89">
        <v>1</v>
      </c>
      <c r="B97" s="89"/>
      <c r="C97" s="25" t="s">
        <v>189</v>
      </c>
      <c r="D97" s="89"/>
      <c r="E97" s="89"/>
      <c r="F97" s="89"/>
      <c r="G97" s="89"/>
    </row>
    <row r="98" spans="1:7" x14ac:dyDescent="0.25">
      <c r="A98" s="89">
        <v>1</v>
      </c>
      <c r="C98" s="89" t="s">
        <v>123</v>
      </c>
      <c r="D98" s="227" t="s">
        <v>130</v>
      </c>
      <c r="E98" s="227"/>
      <c r="F98" s="227"/>
      <c r="G98" s="227"/>
    </row>
    <row r="99" spans="1:7" x14ac:dyDescent="0.25">
      <c r="A99" s="89">
        <v>1</v>
      </c>
      <c r="C99" s="89" t="s">
        <v>235</v>
      </c>
      <c r="D99" s="107" t="s">
        <v>131</v>
      </c>
      <c r="E99" s="89"/>
      <c r="F99" s="89"/>
      <c r="G99" s="89"/>
    </row>
    <row r="100" spans="1:7" x14ac:dyDescent="0.25">
      <c r="A100" s="89">
        <v>1</v>
      </c>
    </row>
    <row r="101" spans="1:7" s="89" customFormat="1" x14ac:dyDescent="0.25">
      <c r="A101" s="89">
        <v>1</v>
      </c>
    </row>
    <row r="102" spans="1:7" s="89" customFormat="1" ht="34.5" x14ac:dyDescent="0.25">
      <c r="A102" s="89">
        <v>1</v>
      </c>
      <c r="C102" s="47"/>
      <c r="D102" s="64" t="s">
        <v>124</v>
      </c>
      <c r="E102" s="95" t="s">
        <v>163</v>
      </c>
      <c r="F102" s="64" t="str">
        <f>E21</f>
        <v>Status indkøbte smågrise efter sanering</v>
      </c>
    </row>
    <row r="103" spans="1:7" s="89" customFormat="1" x14ac:dyDescent="0.25">
      <c r="A103" s="89">
        <v>1</v>
      </c>
      <c r="C103" s="47" t="s">
        <v>25</v>
      </c>
      <c r="D103" s="97" t="str">
        <f>D22</f>
        <v>Ja</v>
      </c>
      <c r="E103" s="101">
        <f>G22</f>
        <v>0.25</v>
      </c>
      <c r="F103" s="98" t="str">
        <f>E22</f>
        <v>Nej</v>
      </c>
    </row>
    <row r="104" spans="1:7" s="89" customFormat="1" x14ac:dyDescent="0.25">
      <c r="A104" s="89">
        <v>1</v>
      </c>
      <c r="C104" s="47" t="s">
        <v>26</v>
      </c>
      <c r="D104" s="97" t="str">
        <f>D23</f>
        <v>Ja</v>
      </c>
      <c r="E104" s="101">
        <f>G23</f>
        <v>2.5000000000000001E-2</v>
      </c>
      <c r="F104" s="98" t="str">
        <f>E23</f>
        <v>Nej</v>
      </c>
    </row>
    <row r="105" spans="1:7" s="89" customFormat="1" x14ac:dyDescent="0.25">
      <c r="A105" s="89">
        <v>1</v>
      </c>
      <c r="C105" s="47" t="s">
        <v>24</v>
      </c>
      <c r="D105" s="97" t="str">
        <f>D24</f>
        <v>Ja</v>
      </c>
      <c r="E105" s="101">
        <f>G24</f>
        <v>0.33</v>
      </c>
      <c r="F105" s="98" t="str">
        <f>E24</f>
        <v>Nej</v>
      </c>
    </row>
    <row r="106" spans="1:7" s="89" customFormat="1" x14ac:dyDescent="0.25">
      <c r="A106" s="89">
        <v>1</v>
      </c>
      <c r="F106"/>
    </row>
    <row r="107" spans="1:7" s="89" customFormat="1" x14ac:dyDescent="0.25">
      <c r="A107" s="89">
        <v>1</v>
      </c>
      <c r="F107"/>
    </row>
    <row r="108" spans="1:7" s="89" customFormat="1" x14ac:dyDescent="0.25">
      <c r="A108" s="89">
        <v>1</v>
      </c>
      <c r="F108"/>
    </row>
    <row r="109" spans="1:7" s="89" customFormat="1" ht="23" x14ac:dyDescent="0.25">
      <c r="A109" s="89">
        <v>1</v>
      </c>
      <c r="C109" s="96" t="s">
        <v>122</v>
      </c>
      <c r="D109" s="96" t="s">
        <v>133</v>
      </c>
      <c r="E109" s="96" t="s">
        <v>156</v>
      </c>
      <c r="F109"/>
    </row>
    <row r="110" spans="1:7" x14ac:dyDescent="0.25">
      <c r="A110" s="89">
        <v>1</v>
      </c>
      <c r="C110" s="47" t="s">
        <v>15</v>
      </c>
      <c r="D110" s="72">
        <f>D35</f>
        <v>0</v>
      </c>
      <c r="E110" s="73">
        <f>D85</f>
        <v>51.045057170019561</v>
      </c>
    </row>
    <row r="111" spans="1:7" x14ac:dyDescent="0.25">
      <c r="A111" s="89">
        <v>1</v>
      </c>
      <c r="C111" s="47" t="s">
        <v>16</v>
      </c>
      <c r="D111" s="72">
        <f>D36</f>
        <v>1000</v>
      </c>
      <c r="E111" s="73">
        <f>E85</f>
        <v>154.48126245619733</v>
      </c>
    </row>
    <row r="112" spans="1:7" x14ac:dyDescent="0.25">
      <c r="A112" s="89">
        <v>1</v>
      </c>
    </row>
    <row r="113" spans="1:8" x14ac:dyDescent="0.25">
      <c r="A113" s="89">
        <v>1</v>
      </c>
    </row>
    <row r="114" spans="1:8" x14ac:dyDescent="0.25">
      <c r="A114" s="89">
        <v>1</v>
      </c>
    </row>
    <row r="115" spans="1:8" x14ac:dyDescent="0.25">
      <c r="A115" s="89">
        <v>1</v>
      </c>
      <c r="D115" t="str">
        <f>E124</f>
        <v>Totalsanering</v>
      </c>
      <c r="E115" t="str">
        <f>F124</f>
        <v>Delsanering</v>
      </c>
    </row>
    <row r="116" spans="1:8" x14ac:dyDescent="0.25">
      <c r="A116" s="89">
        <v>1</v>
      </c>
      <c r="C116" t="s">
        <v>161</v>
      </c>
      <c r="D116" s="4">
        <f>$D35*$D85*(D46/$E35)</f>
        <v>0</v>
      </c>
      <c r="E116" s="4">
        <f>$D35*$D85*(G46/52)*(52/$E35)</f>
        <v>0</v>
      </c>
    </row>
    <row r="117" spans="1:8" x14ac:dyDescent="0.25">
      <c r="A117" s="89">
        <v>1</v>
      </c>
      <c r="C117" t="s">
        <v>192</v>
      </c>
      <c r="D117" s="4">
        <f>$D36*$E85*(D47/$E36)</f>
        <v>167354.70099421375</v>
      </c>
      <c r="E117" s="4">
        <f>$D36*$E85*(G47/$E36)</f>
        <v>25746.877076032884</v>
      </c>
    </row>
    <row r="118" spans="1:8" x14ac:dyDescent="0.25">
      <c r="A118" s="89">
        <v>1</v>
      </c>
      <c r="C118" t="s">
        <v>162</v>
      </c>
      <c r="D118" s="34">
        <f>I53</f>
        <v>352.69565217391306</v>
      </c>
      <c r="E118" s="34">
        <f>I54</f>
        <v>352.69565217391306</v>
      </c>
    </row>
    <row r="119" spans="1:8" x14ac:dyDescent="0.25">
      <c r="A119" s="89">
        <v>1</v>
      </c>
      <c r="C119" s="3" t="s">
        <v>60</v>
      </c>
      <c r="D119" s="37">
        <f>$D57</f>
        <v>2600</v>
      </c>
      <c r="E119" s="37">
        <f>$D57</f>
        <v>2600</v>
      </c>
    </row>
    <row r="120" spans="1:8" x14ac:dyDescent="0.25">
      <c r="A120" s="89">
        <v>1</v>
      </c>
      <c r="C120" s="3" t="s">
        <v>55</v>
      </c>
      <c r="D120" s="37">
        <f>SUM(D116:D119)</f>
        <v>170307.39664638767</v>
      </c>
      <c r="E120" s="37">
        <f>SUM(E116:E119)</f>
        <v>28699.572728206796</v>
      </c>
    </row>
    <row r="121" spans="1:8" x14ac:dyDescent="0.25">
      <c r="A121" s="89">
        <v>1</v>
      </c>
    </row>
    <row r="122" spans="1:8" x14ac:dyDescent="0.25">
      <c r="A122" s="89">
        <v>1</v>
      </c>
    </row>
    <row r="123" spans="1:8" x14ac:dyDescent="0.25">
      <c r="A123" s="89">
        <v>1</v>
      </c>
    </row>
    <row r="124" spans="1:8" x14ac:dyDescent="0.25">
      <c r="A124" s="89">
        <v>1</v>
      </c>
      <c r="C124" s="8" t="s">
        <v>253</v>
      </c>
      <c r="D124" s="1" t="s">
        <v>9</v>
      </c>
      <c r="E124" s="1" t="s">
        <v>27</v>
      </c>
      <c r="F124" s="1" t="s">
        <v>3</v>
      </c>
    </row>
    <row r="125" spans="1:8" x14ac:dyDescent="0.25">
      <c r="A125" s="89">
        <v>1</v>
      </c>
      <c r="C125" t="s">
        <v>254</v>
      </c>
      <c r="D125" s="4">
        <f>IF(D24="Ja",$D$36*(52/$E$36)*$D$60*$D$61,0)</f>
        <v>0</v>
      </c>
      <c r="E125" s="4">
        <f>IF(E24="Ja",$D$36*(52/$E$36)*$D$60*$D$61,0)</f>
        <v>0</v>
      </c>
      <c r="F125" s="4">
        <f>IF(E24="Ja",E125,D125*(1-G24))</f>
        <v>0</v>
      </c>
    </row>
    <row r="126" spans="1:8" x14ac:dyDescent="0.25">
      <c r="A126" s="89">
        <v>1</v>
      </c>
      <c r="C126" t="s">
        <v>255</v>
      </c>
      <c r="D126" s="4">
        <f>IF(D125&lt;0,$D$36*(52/$E$36)*$D$62*-1,0)</f>
        <v>0</v>
      </c>
      <c r="E126" s="4">
        <f>IF(E125&lt;0,$D$36*(52/$E$36)*$D$62*-1,0)</f>
        <v>0</v>
      </c>
      <c r="F126" s="4">
        <f>IF(F125&lt;0,$D$36*(52/$E$36)*$D$62*-1*(1-G24),0)</f>
        <v>0</v>
      </c>
    </row>
    <row r="127" spans="1:8" x14ac:dyDescent="0.25">
      <c r="A127" s="89">
        <v>1</v>
      </c>
      <c r="C127" s="59" t="s">
        <v>153</v>
      </c>
      <c r="D127" s="4">
        <f t="shared" ref="D127:F128" si="3">D89*$D$36*(52/$E$36)*-1</f>
        <v>0</v>
      </c>
      <c r="E127" s="4">
        <f t="shared" si="3"/>
        <v>-39000</v>
      </c>
      <c r="F127" s="4">
        <f t="shared" si="3"/>
        <v>-39000</v>
      </c>
      <c r="H127" t="s">
        <v>8</v>
      </c>
    </row>
    <row r="128" spans="1:8" x14ac:dyDescent="0.25">
      <c r="A128" s="89">
        <v>1</v>
      </c>
      <c r="C128" t="str">
        <f>C90</f>
        <v>+/- egne tillæg i kr. per smågrise indkøbt</v>
      </c>
      <c r="D128" s="4">
        <f t="shared" si="3"/>
        <v>0</v>
      </c>
      <c r="E128" s="4">
        <f t="shared" si="3"/>
        <v>0</v>
      </c>
      <c r="F128" s="4">
        <f t="shared" si="3"/>
        <v>0</v>
      </c>
    </row>
    <row r="129" spans="1:8" x14ac:dyDescent="0.25">
      <c r="A129" s="89">
        <v>1</v>
      </c>
      <c r="C129" t="s">
        <v>164</v>
      </c>
      <c r="D129" s="4">
        <f t="shared" ref="D129:F130" si="4">D94*$D$36*(52/$E$36)</f>
        <v>0</v>
      </c>
      <c r="E129" s="4">
        <f t="shared" si="4"/>
        <v>91000</v>
      </c>
      <c r="F129" s="4">
        <f t="shared" si="4"/>
        <v>14039.999999999998</v>
      </c>
      <c r="H129" t="s">
        <v>8</v>
      </c>
    </row>
    <row r="130" spans="1:8" x14ac:dyDescent="0.25">
      <c r="A130" s="89">
        <v>1</v>
      </c>
      <c r="C130" t="str">
        <f>C95</f>
        <v>+/- egne værdi korrektioner i kr. per slagtegris</v>
      </c>
      <c r="D130" s="4">
        <f t="shared" si="4"/>
        <v>0</v>
      </c>
      <c r="E130" s="4">
        <f t="shared" si="4"/>
        <v>0</v>
      </c>
      <c r="F130" s="4">
        <f t="shared" si="4"/>
        <v>0</v>
      </c>
    </row>
    <row r="131" spans="1:8" x14ac:dyDescent="0.25">
      <c r="A131" s="89">
        <v>1</v>
      </c>
      <c r="C131" t="str">
        <f>C58</f>
        <v>Diverse årlige omkostninger ved +PRRS-status, ekstra dyrlæge og PCR-test</v>
      </c>
      <c r="D131" s="4">
        <f>D58*-1</f>
        <v>-17000</v>
      </c>
      <c r="E131" s="4">
        <v>0</v>
      </c>
      <c r="F131" s="4">
        <f>D131*(1-G24)</f>
        <v>-11389.999999999998</v>
      </c>
    </row>
    <row r="132" spans="1:8" x14ac:dyDescent="0.25">
      <c r="A132" s="89">
        <v>1</v>
      </c>
      <c r="C132" s="3" t="s">
        <v>58</v>
      </c>
      <c r="D132" s="7">
        <f>SUM(D125:D131)</f>
        <v>-17000</v>
      </c>
      <c r="E132" s="7">
        <f>SUM(E125:E131)</f>
        <v>52000</v>
      </c>
      <c r="F132" s="7">
        <f>SUM(F125:F131)</f>
        <v>-36350</v>
      </c>
    </row>
    <row r="133" spans="1:8" ht="12" thickBot="1" x14ac:dyDescent="0.3">
      <c r="A133" s="89">
        <v>1</v>
      </c>
      <c r="C133" s="99" t="s">
        <v>267</v>
      </c>
      <c r="D133" s="99"/>
      <c r="E133" s="100">
        <f>E132-D132</f>
        <v>69000</v>
      </c>
      <c r="F133" s="100">
        <f>F132-D132</f>
        <v>-19350</v>
      </c>
    </row>
    <row r="134" spans="1:8" ht="12.5" thickTop="1" thickBot="1" x14ac:dyDescent="0.3">
      <c r="A134" s="89">
        <v>1</v>
      </c>
      <c r="C134" s="84" t="s">
        <v>28</v>
      </c>
      <c r="D134" s="84"/>
      <c r="E134" s="102">
        <f>D8</f>
        <v>2.4682231398027197</v>
      </c>
      <c r="F134" s="102" t="str">
        <f>E8</f>
        <v>Aldrig</v>
      </c>
    </row>
    <row r="135" spans="1:8" ht="12.5" thickTop="1" thickBot="1" x14ac:dyDescent="0.3">
      <c r="A135" s="89">
        <v>1</v>
      </c>
      <c r="C135" s="84" t="str">
        <f>"Nutidsværdi med dette forbedrede cash flow "&amp;D3&amp;" år efter sanering"</f>
        <v>Nutidsværdi med dette forbedrede cash flow 8 år efter sanering</v>
      </c>
      <c r="D135" s="84"/>
      <c r="E135" s="85">
        <f>IF(D4&gt;0,-D120+E133*(1-POWER(1+D4,-D3))/D4,E133*D3)</f>
        <v>284808.74200136366</v>
      </c>
      <c r="F135" s="85">
        <f>IF(D4&gt;0,-E120+F133*(1-POWER(1+D4,-D3))/D4,D3*F133)</f>
        <v>-156329.96813159791</v>
      </c>
    </row>
    <row r="136" spans="1:8" ht="12" hidden="1" thickTop="1" x14ac:dyDescent="0.25">
      <c r="A136" s="89" t="s">
        <v>8</v>
      </c>
    </row>
    <row r="137" spans="1:8" ht="12" thickTop="1" x14ac:dyDescent="0.25">
      <c r="E137" s="4"/>
      <c r="F137" s="4"/>
    </row>
    <row r="138" spans="1:8" x14ac:dyDescent="0.25">
      <c r="E138" s="4"/>
      <c r="F138" s="4"/>
    </row>
    <row r="139" spans="1:8" x14ac:dyDescent="0.25">
      <c r="D139" s="90"/>
      <c r="E139" s="34"/>
      <c r="F139" s="34"/>
    </row>
    <row r="140" spans="1:8" x14ac:dyDescent="0.25">
      <c r="D140" s="105"/>
      <c r="E140" s="4"/>
      <c r="F140" s="104"/>
    </row>
    <row r="141" spans="1:8" x14ac:dyDescent="0.25">
      <c r="D141" s="105"/>
      <c r="E141" s="4"/>
      <c r="F141" s="104"/>
    </row>
    <row r="142" spans="1:8" x14ac:dyDescent="0.25">
      <c r="E142" s="4"/>
      <c r="F142" s="4"/>
    </row>
    <row r="143" spans="1:8" x14ac:dyDescent="0.25">
      <c r="E143" s="4"/>
      <c r="F143" s="4"/>
    </row>
    <row r="144" spans="1:8" x14ac:dyDescent="0.25">
      <c r="E144" s="4"/>
      <c r="F144" s="4"/>
    </row>
    <row r="145" spans="5:6" x14ac:dyDescent="0.25">
      <c r="E145" s="4"/>
      <c r="F145" s="4"/>
    </row>
    <row r="146" spans="5:6" x14ac:dyDescent="0.25">
      <c r="E146" s="4"/>
      <c r="F146" s="4"/>
    </row>
    <row r="147" spans="5:6" x14ac:dyDescent="0.25">
      <c r="E147" s="4"/>
      <c r="F147" s="4"/>
    </row>
    <row r="148" spans="5:6" x14ac:dyDescent="0.25">
      <c r="E148" s="4"/>
      <c r="F148" s="4"/>
    </row>
    <row r="149" spans="5:6" x14ac:dyDescent="0.25">
      <c r="E149" s="4"/>
      <c r="F149" s="4"/>
    </row>
    <row r="150" spans="5:6" x14ac:dyDescent="0.25">
      <c r="E150" s="4"/>
      <c r="F150" s="4"/>
    </row>
    <row r="151" spans="5:6" x14ac:dyDescent="0.25">
      <c r="E151" s="4"/>
      <c r="F151" s="4"/>
    </row>
    <row r="152" spans="5:6" x14ac:dyDescent="0.25">
      <c r="E152" s="4"/>
      <c r="F152" s="4"/>
    </row>
    <row r="153" spans="5:6" x14ac:dyDescent="0.25">
      <c r="E153" s="4"/>
      <c r="F153" s="4"/>
    </row>
    <row r="154" spans="5:6" x14ac:dyDescent="0.25">
      <c r="E154" s="4"/>
      <c r="F154" s="4"/>
    </row>
    <row r="155" spans="5:6" x14ac:dyDescent="0.25">
      <c r="E155" s="4"/>
      <c r="F155" s="4"/>
    </row>
    <row r="156" spans="5:6" x14ac:dyDescent="0.25">
      <c r="E156" s="4"/>
      <c r="F156" s="4"/>
    </row>
    <row r="157" spans="5:6" x14ac:dyDescent="0.25">
      <c r="E157" s="4"/>
      <c r="F157" s="4"/>
    </row>
    <row r="158" spans="5:6" x14ac:dyDescent="0.25">
      <c r="E158" s="4"/>
      <c r="F158" s="4"/>
    </row>
    <row r="159" spans="5:6" x14ac:dyDescent="0.25">
      <c r="E159" s="4"/>
      <c r="F159" s="4"/>
    </row>
    <row r="160" spans="5:6" x14ac:dyDescent="0.25">
      <c r="E160" s="4"/>
      <c r="F160" s="4"/>
    </row>
    <row r="161" spans="4:6" x14ac:dyDescent="0.25">
      <c r="E161" s="4"/>
      <c r="F161" s="4"/>
    </row>
    <row r="162" spans="4:6" x14ac:dyDescent="0.25">
      <c r="E162" s="10"/>
      <c r="F162" s="10"/>
    </row>
    <row r="163" spans="4:6" x14ac:dyDescent="0.25">
      <c r="E163" s="4"/>
    </row>
    <row r="164" spans="4:6" x14ac:dyDescent="0.25">
      <c r="E164" s="4"/>
    </row>
    <row r="165" spans="4:6" x14ac:dyDescent="0.25">
      <c r="E165" s="4"/>
    </row>
    <row r="166" spans="4:6" x14ac:dyDescent="0.25">
      <c r="E166" s="4"/>
    </row>
    <row r="167" spans="4:6" x14ac:dyDescent="0.25">
      <c r="E167" s="4"/>
    </row>
    <row r="168" spans="4:6" x14ac:dyDescent="0.25">
      <c r="E168" s="4"/>
    </row>
    <row r="169" spans="4:6" x14ac:dyDescent="0.25">
      <c r="E169" s="4"/>
    </row>
    <row r="171" spans="4:6" x14ac:dyDescent="0.25">
      <c r="E171" s="4"/>
    </row>
    <row r="174" spans="4:6" x14ac:dyDescent="0.25">
      <c r="D174" s="40"/>
      <c r="E174" s="4"/>
    </row>
    <row r="175" spans="4:6" x14ac:dyDescent="0.25">
      <c r="D175" s="40"/>
      <c r="E175" s="4"/>
    </row>
    <row r="176" spans="4:6" x14ac:dyDescent="0.25">
      <c r="D176" s="40"/>
      <c r="E176" s="4"/>
    </row>
    <row r="177" spans="3:8" x14ac:dyDescent="0.25">
      <c r="D177" s="40"/>
      <c r="E177" s="4"/>
    </row>
    <row r="178" spans="3:8" x14ac:dyDescent="0.25">
      <c r="D178" s="40"/>
      <c r="E178" s="4"/>
    </row>
    <row r="179" spans="3:8" x14ac:dyDescent="0.25">
      <c r="D179" s="40"/>
      <c r="E179" s="4"/>
    </row>
    <row r="180" spans="3:8" x14ac:dyDescent="0.25">
      <c r="D180" s="40"/>
      <c r="E180" s="4"/>
    </row>
    <row r="181" spans="3:8" x14ac:dyDescent="0.25">
      <c r="D181" s="40"/>
      <c r="E181" s="4"/>
    </row>
    <row r="182" spans="3:8" x14ac:dyDescent="0.25">
      <c r="D182" s="40"/>
      <c r="E182" s="4"/>
    </row>
    <row r="183" spans="3:8" x14ac:dyDescent="0.25">
      <c r="D183" s="40"/>
      <c r="E183" s="4"/>
    </row>
    <row r="184" spans="3:8" x14ac:dyDescent="0.25">
      <c r="D184" s="40"/>
      <c r="E184" s="4"/>
    </row>
    <row r="185" spans="3:8" x14ac:dyDescent="0.25">
      <c r="D185" s="40"/>
      <c r="E185" s="4"/>
    </row>
    <row r="186" spans="3:8" x14ac:dyDescent="0.25">
      <c r="D186" s="40"/>
      <c r="E186" s="4"/>
    </row>
    <row r="187" spans="3:8" x14ac:dyDescent="0.25">
      <c r="E187" s="4"/>
    </row>
    <row r="190" spans="3:8" ht="34.5" x14ac:dyDescent="0.25">
      <c r="C190" s="49"/>
      <c r="D190" s="1" t="s">
        <v>98</v>
      </c>
      <c r="E190" s="49"/>
      <c r="F190" s="49"/>
      <c r="G190" s="49"/>
      <c r="H190" s="49"/>
    </row>
    <row r="191" spans="3:8" x14ac:dyDescent="0.25">
      <c r="C191" s="49" t="s">
        <v>91</v>
      </c>
      <c r="D191" s="49">
        <f t="shared" ref="D191:D197" si="5">I3</f>
        <v>13.25</v>
      </c>
      <c r="E191" s="49" t="s">
        <v>53</v>
      </c>
      <c r="F191" s="49"/>
      <c r="G191" s="49"/>
      <c r="H191" s="49"/>
    </row>
    <row r="192" spans="3:8" x14ac:dyDescent="0.25">
      <c r="C192" s="49" t="s">
        <v>89</v>
      </c>
      <c r="D192" s="49">
        <f t="shared" si="5"/>
        <v>277</v>
      </c>
      <c r="E192" s="49" t="s">
        <v>94</v>
      </c>
      <c r="F192" s="49"/>
      <c r="G192" s="49"/>
      <c r="H192" s="49"/>
    </row>
    <row r="193" spans="3:8" x14ac:dyDescent="0.25">
      <c r="C193" s="49" t="s">
        <v>90</v>
      </c>
      <c r="D193" s="49">
        <f t="shared" si="5"/>
        <v>504</v>
      </c>
      <c r="E193" s="49" t="s">
        <v>95</v>
      </c>
      <c r="F193" s="49"/>
      <c r="G193" s="49"/>
      <c r="H193" s="49"/>
    </row>
    <row r="194" spans="3:8" x14ac:dyDescent="0.25">
      <c r="C194" s="49" t="s">
        <v>76</v>
      </c>
      <c r="D194" s="49">
        <f t="shared" si="5"/>
        <v>2.5099999999999998</v>
      </c>
      <c r="E194" s="49" t="s">
        <v>92</v>
      </c>
      <c r="F194" s="49"/>
      <c r="G194" s="49"/>
      <c r="H194" s="49"/>
    </row>
    <row r="195" spans="3:8" x14ac:dyDescent="0.25">
      <c r="C195" s="49" t="s">
        <v>78</v>
      </c>
      <c r="D195" s="49">
        <f t="shared" si="5"/>
        <v>4.88</v>
      </c>
      <c r="E195" s="49" t="s">
        <v>92</v>
      </c>
      <c r="F195" s="49"/>
      <c r="G195" s="49"/>
      <c r="H195" s="49"/>
    </row>
    <row r="196" spans="3:8" x14ac:dyDescent="0.25">
      <c r="C196" s="49" t="s">
        <v>79</v>
      </c>
      <c r="D196" s="49">
        <f t="shared" si="5"/>
        <v>3.02</v>
      </c>
      <c r="E196" s="49" t="s">
        <v>92</v>
      </c>
      <c r="F196" s="49"/>
      <c r="G196" s="49"/>
      <c r="H196" s="49"/>
    </row>
    <row r="197" spans="3:8" x14ac:dyDescent="0.25">
      <c r="C197" s="49" t="s">
        <v>80</v>
      </c>
      <c r="D197" s="49">
        <f t="shared" si="5"/>
        <v>2.56</v>
      </c>
      <c r="E197" s="49" t="s">
        <v>93</v>
      </c>
      <c r="F197" s="49"/>
      <c r="G197" s="49"/>
      <c r="H197" s="49"/>
    </row>
    <row r="198" spans="3:8" x14ac:dyDescent="0.25">
      <c r="C198" s="49" t="s">
        <v>100</v>
      </c>
      <c r="D198" s="35">
        <f>(D193-D192)/23</f>
        <v>9.8695652173913047</v>
      </c>
      <c r="E198" s="49"/>
      <c r="F198" s="49"/>
      <c r="G198" s="49"/>
      <c r="H198" s="49"/>
    </row>
    <row r="199" spans="3:8" x14ac:dyDescent="0.25">
      <c r="C199" s="49"/>
      <c r="D199" s="49"/>
      <c r="E199" s="49"/>
      <c r="F199" s="49"/>
      <c r="G199" s="49"/>
      <c r="H199" s="49"/>
    </row>
    <row r="200" spans="3:8" x14ac:dyDescent="0.25">
      <c r="C200" s="49"/>
      <c r="D200" s="49"/>
      <c r="E200" s="49"/>
      <c r="F200" s="49"/>
      <c r="G200" s="49"/>
      <c r="H200" s="49"/>
    </row>
    <row r="201" spans="3:8" ht="46" x14ac:dyDescent="0.25">
      <c r="C201" s="1" t="s">
        <v>82</v>
      </c>
      <c r="D201" s="1" t="s">
        <v>83</v>
      </c>
      <c r="E201" s="1" t="s">
        <v>84</v>
      </c>
      <c r="F201" s="1" t="s">
        <v>85</v>
      </c>
      <c r="G201" s="1" t="s">
        <v>86</v>
      </c>
      <c r="H201" s="1" t="s">
        <v>87</v>
      </c>
    </row>
    <row r="202" spans="3:8" x14ac:dyDescent="0.25">
      <c r="C202" s="49">
        <v>0</v>
      </c>
      <c r="D202" s="49">
        <v>7</v>
      </c>
      <c r="E202" s="11">
        <f>F202-G202*D202</f>
        <v>135.14254992319511</v>
      </c>
      <c r="F202" s="11">
        <f>E203</f>
        <v>277</v>
      </c>
      <c r="G202" s="35">
        <f>G203+3</f>
        <v>20.265350010972128</v>
      </c>
      <c r="H202" s="33"/>
    </row>
    <row r="203" spans="3:8" x14ac:dyDescent="0.25">
      <c r="C203" s="49">
        <v>7</v>
      </c>
      <c r="D203" s="49">
        <v>9</v>
      </c>
      <c r="E203" s="11">
        <f>D192</f>
        <v>277</v>
      </c>
      <c r="F203" s="11">
        <f>E203+(D203-C203)*G203</f>
        <v>311.53070002194426</v>
      </c>
      <c r="G203" s="35">
        <f>D$198*H203</f>
        <v>17.265350010972128</v>
      </c>
      <c r="H203" s="33">
        <v>1.7493526442835194</v>
      </c>
    </row>
    <row r="204" spans="3:8" x14ac:dyDescent="0.25">
      <c r="C204" s="49">
        <v>9</v>
      </c>
      <c r="D204" s="49">
        <v>12</v>
      </c>
      <c r="E204" s="11">
        <f>F203</f>
        <v>311.53070002194426</v>
      </c>
      <c r="F204" s="11">
        <f>E204+(D204-C204)*G204</f>
        <v>341.56822470923851</v>
      </c>
      <c r="G204" s="35">
        <f t="shared" ref="G204:G207" si="6">D$198*H204</f>
        <v>10.01250822909809</v>
      </c>
      <c r="H204" s="33">
        <v>1.0144832126398946</v>
      </c>
    </row>
    <row r="205" spans="3:8" x14ac:dyDescent="0.25">
      <c r="C205" s="49">
        <v>12</v>
      </c>
      <c r="D205" s="49">
        <v>25</v>
      </c>
      <c r="E205" s="11">
        <f>F204</f>
        <v>341.56822470923851</v>
      </c>
      <c r="F205" s="11">
        <f>(D205-C205)*G205+E205</f>
        <v>468.49295589203416</v>
      </c>
      <c r="G205" s="35">
        <f t="shared" si="6"/>
        <v>9.7634408602150522</v>
      </c>
      <c r="H205" s="33">
        <v>0.98924731182795689</v>
      </c>
    </row>
    <row r="206" spans="3:8" x14ac:dyDescent="0.25">
      <c r="C206" s="49">
        <v>25</v>
      </c>
      <c r="D206" s="49">
        <v>30</v>
      </c>
      <c r="E206" s="11">
        <f>F205</f>
        <v>468.49295589203416</v>
      </c>
      <c r="F206" s="11">
        <f t="shared" ref="F206:F207" si="7">(D206-C206)*G206+E206</f>
        <v>504.05977616853187</v>
      </c>
      <c r="G206" s="35">
        <f t="shared" si="6"/>
        <v>7.1133640552995372</v>
      </c>
      <c r="H206" s="33">
        <v>0.7207373271889399</v>
      </c>
    </row>
    <row r="207" spans="3:8" x14ac:dyDescent="0.25">
      <c r="C207" s="49">
        <v>30</v>
      </c>
      <c r="D207" s="49">
        <v>40</v>
      </c>
      <c r="E207" s="11">
        <f>D193</f>
        <v>504</v>
      </c>
      <c r="F207" s="11">
        <f t="shared" si="7"/>
        <v>581.70901909150757</v>
      </c>
      <c r="G207" s="35">
        <f t="shared" si="6"/>
        <v>7.7709019091507558</v>
      </c>
      <c r="H207" s="33">
        <v>0.78736010533245537</v>
      </c>
    </row>
    <row r="208" spans="3:8" x14ac:dyDescent="0.25">
      <c r="C208" s="49"/>
      <c r="D208" s="49"/>
      <c r="E208" s="49"/>
      <c r="F208" s="49"/>
      <c r="G208" s="49"/>
      <c r="H208" s="49"/>
    </row>
    <row r="209" spans="3:8" x14ac:dyDescent="0.25">
      <c r="C209" s="49"/>
      <c r="D209" s="49"/>
      <c r="E209" s="49"/>
      <c r="F209" s="49"/>
      <c r="G209" s="49"/>
      <c r="H209" s="49"/>
    </row>
    <row r="210" spans="3:8" x14ac:dyDescent="0.25">
      <c r="C210" s="49"/>
      <c r="D210" s="49"/>
      <c r="E210" s="49"/>
      <c r="F210" s="49"/>
      <c r="G210" s="49"/>
      <c r="H210" s="49"/>
    </row>
    <row r="211" spans="3:8" x14ac:dyDescent="0.25">
      <c r="C211" s="49"/>
      <c r="D211" s="49"/>
      <c r="E211" s="49"/>
      <c r="F211" s="49"/>
      <c r="G211" s="49"/>
      <c r="H211" s="49"/>
    </row>
    <row r="212" spans="3:8" x14ac:dyDescent="0.25">
      <c r="C212" s="49"/>
      <c r="D212" s="49"/>
      <c r="E212" s="49"/>
      <c r="F212" s="49"/>
      <c r="G212" s="49"/>
      <c r="H212" s="49"/>
    </row>
    <row r="213" spans="3:8" x14ac:dyDescent="0.25">
      <c r="C213" s="49"/>
      <c r="D213" s="49"/>
      <c r="E213" s="49"/>
      <c r="F213" s="49"/>
      <c r="G213" s="49"/>
      <c r="H213" s="49"/>
    </row>
    <row r="214" spans="3:8" x14ac:dyDescent="0.25">
      <c r="C214" s="49"/>
      <c r="D214" s="49"/>
      <c r="E214" s="49"/>
      <c r="F214" s="49"/>
      <c r="G214" s="49"/>
      <c r="H214" s="49"/>
    </row>
    <row r="215" spans="3:8" x14ac:dyDescent="0.25">
      <c r="C215" s="49"/>
      <c r="D215" s="35"/>
      <c r="E215" s="49"/>
      <c r="F215" s="49"/>
      <c r="G215" s="49"/>
      <c r="H215" s="49"/>
    </row>
    <row r="216" spans="3:8" x14ac:dyDescent="0.25">
      <c r="C216" s="49"/>
      <c r="D216" s="49"/>
      <c r="E216" s="49"/>
      <c r="F216" s="49"/>
      <c r="G216" s="49"/>
      <c r="H216" s="49"/>
    </row>
    <row r="217" spans="3:8" x14ac:dyDescent="0.25">
      <c r="C217" s="49"/>
      <c r="D217" s="49"/>
      <c r="E217" s="49"/>
      <c r="F217" s="49"/>
      <c r="G217" s="49"/>
      <c r="H217" s="49"/>
    </row>
    <row r="218" spans="3:8" x14ac:dyDescent="0.25">
      <c r="C218" s="1"/>
      <c r="D218" s="1"/>
      <c r="E218" s="1"/>
      <c r="F218" s="1"/>
      <c r="G218" s="1"/>
      <c r="H218" s="1"/>
    </row>
    <row r="219" spans="3:8" x14ac:dyDescent="0.25">
      <c r="C219" s="49"/>
      <c r="D219" s="49"/>
      <c r="E219" s="11"/>
      <c r="F219" s="11"/>
      <c r="G219" s="35"/>
      <c r="H219" s="33"/>
    </row>
    <row r="220" spans="3:8" x14ac:dyDescent="0.25">
      <c r="C220" s="49"/>
      <c r="D220" s="49"/>
      <c r="E220" s="11"/>
      <c r="F220" s="11"/>
      <c r="G220" s="35"/>
      <c r="H220" s="33"/>
    </row>
    <row r="221" spans="3:8" x14ac:dyDescent="0.25">
      <c r="C221" s="49"/>
      <c r="D221" s="49"/>
      <c r="E221" s="11"/>
      <c r="F221" s="11"/>
      <c r="G221" s="35"/>
      <c r="H221" s="33"/>
    </row>
    <row r="222" spans="3:8" x14ac:dyDescent="0.25">
      <c r="C222" s="49"/>
      <c r="D222" s="49"/>
      <c r="E222" s="11"/>
      <c r="F222" s="11"/>
      <c r="G222" s="35"/>
      <c r="H222" s="33"/>
    </row>
    <row r="223" spans="3:8" x14ac:dyDescent="0.25">
      <c r="C223" s="49"/>
      <c r="D223" s="49"/>
      <c r="E223" s="11"/>
      <c r="F223" s="11"/>
      <c r="G223" s="35"/>
      <c r="H223" s="33"/>
    </row>
    <row r="224" spans="3:8" x14ac:dyDescent="0.25">
      <c r="C224" s="49"/>
      <c r="D224" s="49"/>
      <c r="E224" s="11"/>
      <c r="F224" s="11"/>
      <c r="G224" s="35"/>
      <c r="H224" s="33"/>
    </row>
  </sheetData>
  <autoFilter ref="A1:A136" xr:uid="{099BD517-AB7C-4998-884E-BA3648C05E76}">
    <filterColumn colId="0">
      <filters>
        <filter val="1"/>
      </filters>
    </filterColumn>
  </autoFilter>
  <mergeCells count="5">
    <mergeCell ref="D15:F15"/>
    <mergeCell ref="D98:G98"/>
    <mergeCell ref="G2:I2"/>
    <mergeCell ref="C13:J13"/>
    <mergeCell ref="C44:I44"/>
  </mergeCells>
  <dataValidations count="2">
    <dataValidation type="list" allowBlank="1" showInputMessage="1" showErrorMessage="1" sqref="D22:E24" xr:uid="{EB4311F4-1AC0-415A-B8DA-08FC8A9DE349}">
      <formula1>"Ja,Nej"</formula1>
    </dataValidation>
    <dataValidation type="list" allowBlank="1" showInputMessage="1" showErrorMessage="1" sqref="D50 F42" xr:uid="{EA11EC1B-CAA7-4B16-853E-F1E20F146E90}">
      <formula1>"Ja, Nej"</formula1>
    </dataValidation>
  </dataValidations>
  <pageMargins left="0.7" right="0.7" top="0.75" bottom="0.75" header="0.3" footer="0.3"/>
  <pageSetup paperSize="9" scale="87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A12AD-7AC9-468D-B979-3BE52746BCF2}">
  <dimension ref="F3:G15"/>
  <sheetViews>
    <sheetView topLeftCell="F1" workbookViewId="0">
      <selection activeCell="I32" sqref="I32"/>
    </sheetView>
  </sheetViews>
  <sheetFormatPr defaultRowHeight="11.5" x14ac:dyDescent="0.25"/>
  <cols>
    <col min="1" max="5" width="0" hidden="1" customWidth="1"/>
    <col min="6" max="7" width="25.59765625" customWidth="1"/>
  </cols>
  <sheetData>
    <row r="3" spans="6:7" ht="14" x14ac:dyDescent="0.3">
      <c r="F3" s="181" t="s">
        <v>206</v>
      </c>
    </row>
    <row r="5" spans="6:7" ht="34.5" x14ac:dyDescent="0.25">
      <c r="F5" s="64" t="s">
        <v>210</v>
      </c>
      <c r="G5" s="64" t="s">
        <v>209</v>
      </c>
    </row>
    <row r="6" spans="6:7" x14ac:dyDescent="0.25">
      <c r="F6" s="47" t="s">
        <v>207</v>
      </c>
      <c r="G6" s="47">
        <v>-20</v>
      </c>
    </row>
    <row r="7" spans="6:7" x14ac:dyDescent="0.25">
      <c r="F7" s="182" t="str">
        <f>"5-8"</f>
        <v>5-8</v>
      </c>
      <c r="G7" s="47">
        <v>-40</v>
      </c>
    </row>
    <row r="8" spans="6:7" x14ac:dyDescent="0.25">
      <c r="F8" s="182" t="str">
        <f>"9-14"</f>
        <v>9-14</v>
      </c>
      <c r="G8" s="47">
        <v>-80</v>
      </c>
    </row>
    <row r="9" spans="6:7" x14ac:dyDescent="0.25">
      <c r="F9" s="182" t="str">
        <f>"15-18"</f>
        <v>15-18</v>
      </c>
      <c r="G9" s="47">
        <v>-120</v>
      </c>
    </row>
    <row r="10" spans="6:7" x14ac:dyDescent="0.25">
      <c r="F10" s="182" t="str">
        <f>"19-24"</f>
        <v>19-24</v>
      </c>
      <c r="G10" s="47">
        <v>-200</v>
      </c>
    </row>
    <row r="11" spans="6:7" x14ac:dyDescent="0.25">
      <c r="F11" s="182" t="s">
        <v>208</v>
      </c>
      <c r="G11" s="47">
        <v>-300</v>
      </c>
    </row>
    <row r="12" spans="6:7" x14ac:dyDescent="0.25">
      <c r="F12" s="180"/>
    </row>
    <row r="13" spans="6:7" x14ac:dyDescent="0.25">
      <c r="F13" s="180"/>
    </row>
    <row r="14" spans="6:7" x14ac:dyDescent="0.25">
      <c r="F14" s="180"/>
    </row>
    <row r="15" spans="6:7" x14ac:dyDescent="0.25">
      <c r="F15" s="18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B52AE-1457-450C-9FB6-1D3420B1CB88}">
  <dimension ref="F12:N80"/>
  <sheetViews>
    <sheetView topLeftCell="Q1" workbookViewId="0">
      <selection activeCell="L6" sqref="L6"/>
    </sheetView>
  </sheetViews>
  <sheetFormatPr defaultRowHeight="11.5" x14ac:dyDescent="0.25"/>
  <sheetData>
    <row r="12" spans="6:9" ht="46" x14ac:dyDescent="0.25">
      <c r="F12" t="s">
        <v>69</v>
      </c>
      <c r="G12" s="1" t="s">
        <v>68</v>
      </c>
      <c r="H12" s="1" t="s">
        <v>70</v>
      </c>
      <c r="I12" s="1" t="s">
        <v>72</v>
      </c>
    </row>
    <row r="13" spans="6:9" x14ac:dyDescent="0.25">
      <c r="F13">
        <v>0</v>
      </c>
      <c r="G13">
        <v>21</v>
      </c>
      <c r="H13">
        <f>8</f>
        <v>8</v>
      </c>
      <c r="I13">
        <v>13</v>
      </c>
    </row>
    <row r="14" spans="6:9" x14ac:dyDescent="0.25">
      <c r="F14">
        <f>F13+1</f>
        <v>1</v>
      </c>
      <c r="G14">
        <f>G13-1</f>
        <v>20</v>
      </c>
      <c r="H14">
        <f>8</f>
        <v>8</v>
      </c>
      <c r="I14">
        <v>13</v>
      </c>
    </row>
    <row r="15" spans="6:9" x14ac:dyDescent="0.25">
      <c r="F15">
        <f t="shared" ref="F15:F78" si="0">F14+1</f>
        <v>2</v>
      </c>
      <c r="G15">
        <f t="shared" ref="G15:G34" si="1">G14-1</f>
        <v>19</v>
      </c>
      <c r="H15">
        <f>8</f>
        <v>8</v>
      </c>
      <c r="I15">
        <v>13</v>
      </c>
    </row>
    <row r="16" spans="6:9" x14ac:dyDescent="0.25">
      <c r="F16">
        <f t="shared" si="0"/>
        <v>3</v>
      </c>
      <c r="G16">
        <f t="shared" si="1"/>
        <v>18</v>
      </c>
      <c r="H16">
        <f>8</f>
        <v>8</v>
      </c>
      <c r="I16">
        <v>13</v>
      </c>
    </row>
    <row r="17" spans="6:9" x14ac:dyDescent="0.25">
      <c r="F17">
        <f t="shared" si="0"/>
        <v>4</v>
      </c>
      <c r="G17">
        <f t="shared" si="1"/>
        <v>17</v>
      </c>
      <c r="H17">
        <f>8</f>
        <v>8</v>
      </c>
      <c r="I17">
        <v>13</v>
      </c>
    </row>
    <row r="18" spans="6:9" x14ac:dyDescent="0.25">
      <c r="F18">
        <f t="shared" si="0"/>
        <v>5</v>
      </c>
      <c r="G18">
        <f t="shared" si="1"/>
        <v>16</v>
      </c>
      <c r="H18">
        <f>8</f>
        <v>8</v>
      </c>
      <c r="I18">
        <v>13</v>
      </c>
    </row>
    <row r="19" spans="6:9" x14ac:dyDescent="0.25">
      <c r="F19">
        <f t="shared" si="0"/>
        <v>6</v>
      </c>
      <c r="G19">
        <f t="shared" si="1"/>
        <v>15</v>
      </c>
      <c r="H19">
        <f>8</f>
        <v>8</v>
      </c>
      <c r="I19">
        <v>13</v>
      </c>
    </row>
    <row r="20" spans="6:9" x14ac:dyDescent="0.25">
      <c r="F20">
        <f t="shared" si="0"/>
        <v>7</v>
      </c>
      <c r="G20">
        <f t="shared" si="1"/>
        <v>14</v>
      </c>
      <c r="H20">
        <f>8</f>
        <v>8</v>
      </c>
      <c r="I20">
        <v>13</v>
      </c>
    </row>
    <row r="21" spans="6:9" x14ac:dyDescent="0.25">
      <c r="F21">
        <f t="shared" si="0"/>
        <v>8</v>
      </c>
      <c r="G21">
        <f t="shared" si="1"/>
        <v>13</v>
      </c>
      <c r="H21">
        <f>8</f>
        <v>8</v>
      </c>
      <c r="I21">
        <f t="shared" ref="I21:I25" si="2">I22+1</f>
        <v>13</v>
      </c>
    </row>
    <row r="22" spans="6:9" x14ac:dyDescent="0.25">
      <c r="F22">
        <f t="shared" si="0"/>
        <v>9</v>
      </c>
      <c r="G22">
        <f t="shared" si="1"/>
        <v>12</v>
      </c>
      <c r="H22">
        <f>8</f>
        <v>8</v>
      </c>
      <c r="I22">
        <f t="shared" si="2"/>
        <v>12</v>
      </c>
    </row>
    <row r="23" spans="6:9" x14ac:dyDescent="0.25">
      <c r="F23">
        <f t="shared" si="0"/>
        <v>10</v>
      </c>
      <c r="G23">
        <f t="shared" si="1"/>
        <v>11</v>
      </c>
      <c r="H23">
        <f>8</f>
        <v>8</v>
      </c>
      <c r="I23">
        <f t="shared" si="2"/>
        <v>11</v>
      </c>
    </row>
    <row r="24" spans="6:9" x14ac:dyDescent="0.25">
      <c r="F24">
        <f t="shared" si="0"/>
        <v>11</v>
      </c>
      <c r="G24">
        <f t="shared" si="1"/>
        <v>10</v>
      </c>
      <c r="H24">
        <f>8</f>
        <v>8</v>
      </c>
      <c r="I24">
        <f t="shared" si="2"/>
        <v>10</v>
      </c>
    </row>
    <row r="25" spans="6:9" x14ac:dyDescent="0.25">
      <c r="F25">
        <f t="shared" si="0"/>
        <v>12</v>
      </c>
      <c r="G25">
        <f t="shared" si="1"/>
        <v>9</v>
      </c>
      <c r="H25">
        <f>8</f>
        <v>8</v>
      </c>
      <c r="I25">
        <f t="shared" si="2"/>
        <v>9</v>
      </c>
    </row>
    <row r="26" spans="6:9" x14ac:dyDescent="0.25">
      <c r="F26">
        <f t="shared" si="0"/>
        <v>13</v>
      </c>
      <c r="G26">
        <f t="shared" si="1"/>
        <v>8</v>
      </c>
      <c r="H26">
        <f t="shared" ref="H26:H31" si="3">H27+1</f>
        <v>8</v>
      </c>
      <c r="I26">
        <f t="shared" ref="I26:I31" si="4">I27+1</f>
        <v>8</v>
      </c>
    </row>
    <row r="27" spans="6:9" x14ac:dyDescent="0.25">
      <c r="F27">
        <f t="shared" si="0"/>
        <v>14</v>
      </c>
      <c r="G27">
        <f t="shared" si="1"/>
        <v>7</v>
      </c>
      <c r="H27">
        <f t="shared" si="3"/>
        <v>7</v>
      </c>
      <c r="I27">
        <f t="shared" si="4"/>
        <v>7</v>
      </c>
    </row>
    <row r="28" spans="6:9" x14ac:dyDescent="0.25">
      <c r="F28">
        <f t="shared" si="0"/>
        <v>15</v>
      </c>
      <c r="G28">
        <f t="shared" si="1"/>
        <v>6</v>
      </c>
      <c r="H28">
        <f t="shared" si="3"/>
        <v>6</v>
      </c>
      <c r="I28">
        <f t="shared" si="4"/>
        <v>6</v>
      </c>
    </row>
    <row r="29" spans="6:9" x14ac:dyDescent="0.25">
      <c r="F29">
        <f t="shared" si="0"/>
        <v>16</v>
      </c>
      <c r="G29">
        <f t="shared" si="1"/>
        <v>5</v>
      </c>
      <c r="H29">
        <f t="shared" si="3"/>
        <v>5</v>
      </c>
      <c r="I29">
        <f t="shared" si="4"/>
        <v>5</v>
      </c>
    </row>
    <row r="30" spans="6:9" x14ac:dyDescent="0.25">
      <c r="F30">
        <f t="shared" si="0"/>
        <v>17</v>
      </c>
      <c r="G30">
        <f t="shared" si="1"/>
        <v>4</v>
      </c>
      <c r="H30">
        <f t="shared" si="3"/>
        <v>4</v>
      </c>
      <c r="I30">
        <f t="shared" si="4"/>
        <v>4</v>
      </c>
    </row>
    <row r="31" spans="6:9" x14ac:dyDescent="0.25">
      <c r="F31">
        <f t="shared" si="0"/>
        <v>18</v>
      </c>
      <c r="G31">
        <f t="shared" si="1"/>
        <v>3</v>
      </c>
      <c r="H31">
        <f t="shared" si="3"/>
        <v>3</v>
      </c>
      <c r="I31">
        <f t="shared" si="4"/>
        <v>3</v>
      </c>
    </row>
    <row r="32" spans="6:9" x14ac:dyDescent="0.25">
      <c r="F32">
        <f t="shared" si="0"/>
        <v>19</v>
      </c>
      <c r="G32">
        <f t="shared" si="1"/>
        <v>2</v>
      </c>
      <c r="H32">
        <f>H33+1</f>
        <v>2</v>
      </c>
      <c r="I32">
        <f>I33+1</f>
        <v>2</v>
      </c>
    </row>
    <row r="33" spans="6:14" x14ac:dyDescent="0.25">
      <c r="F33">
        <f t="shared" si="0"/>
        <v>20</v>
      </c>
      <c r="G33">
        <f t="shared" si="1"/>
        <v>1</v>
      </c>
      <c r="H33">
        <f>1</f>
        <v>1</v>
      </c>
      <c r="I33">
        <f>1</f>
        <v>1</v>
      </c>
    </row>
    <row r="34" spans="6:14" x14ac:dyDescent="0.25">
      <c r="F34">
        <f t="shared" si="0"/>
        <v>21</v>
      </c>
      <c r="G34">
        <f t="shared" si="1"/>
        <v>0</v>
      </c>
      <c r="H34">
        <v>0</v>
      </c>
      <c r="I34">
        <v>0</v>
      </c>
    </row>
    <row r="35" spans="6:14" x14ac:dyDescent="0.25">
      <c r="F35">
        <f t="shared" si="0"/>
        <v>22</v>
      </c>
      <c r="G35">
        <v>1</v>
      </c>
    </row>
    <row r="36" spans="6:14" x14ac:dyDescent="0.25">
      <c r="F36">
        <f t="shared" si="0"/>
        <v>23</v>
      </c>
      <c r="G36">
        <f>G35+1</f>
        <v>2</v>
      </c>
    </row>
    <row r="37" spans="6:14" x14ac:dyDescent="0.25">
      <c r="F37">
        <f t="shared" si="0"/>
        <v>24</v>
      </c>
      <c r="G37">
        <f t="shared" ref="G37:G55" si="5">G36+1</f>
        <v>3</v>
      </c>
    </row>
    <row r="38" spans="6:14" x14ac:dyDescent="0.25">
      <c r="F38">
        <f t="shared" si="0"/>
        <v>25</v>
      </c>
      <c r="G38">
        <f t="shared" si="5"/>
        <v>4</v>
      </c>
    </row>
    <row r="39" spans="6:14" x14ac:dyDescent="0.25">
      <c r="F39">
        <f t="shared" si="0"/>
        <v>26</v>
      </c>
      <c r="G39">
        <f t="shared" si="5"/>
        <v>5</v>
      </c>
    </row>
    <row r="40" spans="6:14" x14ac:dyDescent="0.25">
      <c r="F40">
        <f t="shared" si="0"/>
        <v>27</v>
      </c>
      <c r="G40">
        <f t="shared" si="5"/>
        <v>6</v>
      </c>
    </row>
    <row r="41" spans="6:14" x14ac:dyDescent="0.25">
      <c r="F41">
        <f t="shared" si="0"/>
        <v>28</v>
      </c>
      <c r="G41">
        <f t="shared" si="5"/>
        <v>7</v>
      </c>
    </row>
    <row r="42" spans="6:14" x14ac:dyDescent="0.25">
      <c r="F42">
        <f t="shared" si="0"/>
        <v>29</v>
      </c>
      <c r="G42">
        <f t="shared" si="5"/>
        <v>8</v>
      </c>
    </row>
    <row r="43" spans="6:14" x14ac:dyDescent="0.25">
      <c r="F43">
        <f t="shared" si="0"/>
        <v>30</v>
      </c>
      <c r="G43">
        <f t="shared" si="5"/>
        <v>9</v>
      </c>
    </row>
    <row r="44" spans="6:14" x14ac:dyDescent="0.25">
      <c r="F44">
        <f t="shared" si="0"/>
        <v>31</v>
      </c>
      <c r="G44">
        <f t="shared" si="5"/>
        <v>10</v>
      </c>
    </row>
    <row r="45" spans="6:14" x14ac:dyDescent="0.25">
      <c r="F45">
        <f t="shared" si="0"/>
        <v>32</v>
      </c>
      <c r="G45">
        <f t="shared" si="5"/>
        <v>11</v>
      </c>
    </row>
    <row r="46" spans="6:14" x14ac:dyDescent="0.25">
      <c r="F46">
        <f t="shared" si="0"/>
        <v>33</v>
      </c>
      <c r="G46">
        <f t="shared" si="5"/>
        <v>12</v>
      </c>
    </row>
    <row r="47" spans="6:14" x14ac:dyDescent="0.25">
      <c r="F47">
        <f t="shared" si="0"/>
        <v>34</v>
      </c>
      <c r="G47">
        <f t="shared" si="5"/>
        <v>13</v>
      </c>
    </row>
    <row r="48" spans="6:14" x14ac:dyDescent="0.25">
      <c r="F48">
        <f t="shared" si="0"/>
        <v>35</v>
      </c>
      <c r="G48">
        <f t="shared" si="5"/>
        <v>14</v>
      </c>
      <c r="N48">
        <f>43</f>
        <v>43</v>
      </c>
    </row>
    <row r="49" spans="6:14" x14ac:dyDescent="0.25">
      <c r="F49">
        <f t="shared" si="0"/>
        <v>36</v>
      </c>
      <c r="G49">
        <f t="shared" si="5"/>
        <v>15</v>
      </c>
      <c r="N49">
        <f>N48+8</f>
        <v>51</v>
      </c>
    </row>
    <row r="50" spans="6:14" x14ac:dyDescent="0.25">
      <c r="F50">
        <f t="shared" si="0"/>
        <v>37</v>
      </c>
      <c r="G50">
        <f t="shared" si="5"/>
        <v>16</v>
      </c>
      <c r="N50">
        <v>13</v>
      </c>
    </row>
    <row r="51" spans="6:14" x14ac:dyDescent="0.25">
      <c r="F51">
        <f t="shared" si="0"/>
        <v>38</v>
      </c>
      <c r="G51">
        <f t="shared" si="5"/>
        <v>17</v>
      </c>
    </row>
    <row r="52" spans="6:14" x14ac:dyDescent="0.25">
      <c r="F52">
        <f t="shared" si="0"/>
        <v>39</v>
      </c>
      <c r="G52">
        <f t="shared" si="5"/>
        <v>18</v>
      </c>
    </row>
    <row r="53" spans="6:14" x14ac:dyDescent="0.25">
      <c r="F53">
        <f t="shared" si="0"/>
        <v>40</v>
      </c>
      <c r="G53">
        <f t="shared" si="5"/>
        <v>19</v>
      </c>
    </row>
    <row r="54" spans="6:14" x14ac:dyDescent="0.25">
      <c r="F54">
        <f t="shared" si="0"/>
        <v>41</v>
      </c>
      <c r="G54">
        <f t="shared" si="5"/>
        <v>20</v>
      </c>
    </row>
    <row r="55" spans="6:14" x14ac:dyDescent="0.25">
      <c r="F55">
        <f t="shared" si="0"/>
        <v>42</v>
      </c>
      <c r="G55" s="32">
        <f t="shared" si="5"/>
        <v>21</v>
      </c>
    </row>
    <row r="56" spans="6:14" x14ac:dyDescent="0.25">
      <c r="F56">
        <f t="shared" si="0"/>
        <v>43</v>
      </c>
      <c r="G56">
        <v>21</v>
      </c>
      <c r="H56">
        <v>1</v>
      </c>
    </row>
    <row r="57" spans="6:14" x14ac:dyDescent="0.25">
      <c r="F57">
        <f t="shared" si="0"/>
        <v>44</v>
      </c>
      <c r="G57">
        <v>21</v>
      </c>
      <c r="H57">
        <f>H56+1</f>
        <v>2</v>
      </c>
    </row>
    <row r="58" spans="6:14" x14ac:dyDescent="0.25">
      <c r="F58">
        <f t="shared" si="0"/>
        <v>45</v>
      </c>
      <c r="G58">
        <v>21</v>
      </c>
      <c r="H58">
        <f t="shared" ref="H58:H63" si="6">H57+1</f>
        <v>3</v>
      </c>
    </row>
    <row r="59" spans="6:14" x14ac:dyDescent="0.25">
      <c r="F59">
        <f t="shared" si="0"/>
        <v>46</v>
      </c>
      <c r="G59">
        <v>21</v>
      </c>
      <c r="H59">
        <f t="shared" si="6"/>
        <v>4</v>
      </c>
    </row>
    <row r="60" spans="6:14" x14ac:dyDescent="0.25">
      <c r="F60">
        <f t="shared" si="0"/>
        <v>47</v>
      </c>
      <c r="G60">
        <v>21</v>
      </c>
      <c r="H60">
        <f t="shared" si="6"/>
        <v>5</v>
      </c>
    </row>
    <row r="61" spans="6:14" x14ac:dyDescent="0.25">
      <c r="F61">
        <f t="shared" si="0"/>
        <v>48</v>
      </c>
      <c r="G61">
        <v>21</v>
      </c>
      <c r="H61">
        <f t="shared" si="6"/>
        <v>6</v>
      </c>
    </row>
    <row r="62" spans="6:14" x14ac:dyDescent="0.25">
      <c r="F62">
        <f t="shared" si="0"/>
        <v>49</v>
      </c>
      <c r="G62">
        <v>21</v>
      </c>
      <c r="H62">
        <f t="shared" si="6"/>
        <v>7</v>
      </c>
    </row>
    <row r="63" spans="6:14" x14ac:dyDescent="0.25">
      <c r="F63">
        <f t="shared" si="0"/>
        <v>50</v>
      </c>
      <c r="G63">
        <v>21</v>
      </c>
      <c r="H63">
        <f t="shared" si="6"/>
        <v>8</v>
      </c>
    </row>
    <row r="64" spans="6:14" x14ac:dyDescent="0.25">
      <c r="F64">
        <f t="shared" si="0"/>
        <v>51</v>
      </c>
      <c r="G64">
        <v>21</v>
      </c>
      <c r="H64">
        <f>H63</f>
        <v>8</v>
      </c>
      <c r="I64">
        <v>1</v>
      </c>
    </row>
    <row r="65" spans="6:9" x14ac:dyDescent="0.25">
      <c r="F65">
        <f t="shared" si="0"/>
        <v>52</v>
      </c>
      <c r="G65">
        <v>21</v>
      </c>
      <c r="H65">
        <f>H64</f>
        <v>8</v>
      </c>
      <c r="I65">
        <f>I64+1</f>
        <v>2</v>
      </c>
    </row>
    <row r="66" spans="6:9" x14ac:dyDescent="0.25">
      <c r="F66">
        <f t="shared" si="0"/>
        <v>53</v>
      </c>
      <c r="G66">
        <v>21</v>
      </c>
      <c r="H66">
        <f t="shared" ref="H66:H80" si="7">H65</f>
        <v>8</v>
      </c>
      <c r="I66">
        <f t="shared" ref="I66:I76" si="8">I65+1</f>
        <v>3</v>
      </c>
    </row>
    <row r="67" spans="6:9" x14ac:dyDescent="0.25">
      <c r="F67">
        <f t="shared" si="0"/>
        <v>54</v>
      </c>
      <c r="G67">
        <v>21</v>
      </c>
      <c r="H67">
        <f t="shared" si="7"/>
        <v>8</v>
      </c>
      <c r="I67">
        <f t="shared" si="8"/>
        <v>4</v>
      </c>
    </row>
    <row r="68" spans="6:9" x14ac:dyDescent="0.25">
      <c r="F68">
        <f t="shared" si="0"/>
        <v>55</v>
      </c>
      <c r="G68">
        <v>21</v>
      </c>
      <c r="H68">
        <f t="shared" si="7"/>
        <v>8</v>
      </c>
      <c r="I68">
        <f t="shared" si="8"/>
        <v>5</v>
      </c>
    </row>
    <row r="69" spans="6:9" x14ac:dyDescent="0.25">
      <c r="F69">
        <f t="shared" si="0"/>
        <v>56</v>
      </c>
      <c r="G69">
        <v>21</v>
      </c>
      <c r="H69">
        <f t="shared" si="7"/>
        <v>8</v>
      </c>
      <c r="I69">
        <f t="shared" si="8"/>
        <v>6</v>
      </c>
    </row>
    <row r="70" spans="6:9" x14ac:dyDescent="0.25">
      <c r="F70">
        <f t="shared" si="0"/>
        <v>57</v>
      </c>
      <c r="G70">
        <v>21</v>
      </c>
      <c r="H70">
        <f t="shared" si="7"/>
        <v>8</v>
      </c>
      <c r="I70">
        <f t="shared" si="8"/>
        <v>7</v>
      </c>
    </row>
    <row r="71" spans="6:9" x14ac:dyDescent="0.25">
      <c r="F71">
        <f t="shared" si="0"/>
        <v>58</v>
      </c>
      <c r="G71">
        <v>21</v>
      </c>
      <c r="H71">
        <f t="shared" si="7"/>
        <v>8</v>
      </c>
      <c r="I71">
        <f t="shared" si="8"/>
        <v>8</v>
      </c>
    </row>
    <row r="72" spans="6:9" x14ac:dyDescent="0.25">
      <c r="F72">
        <f t="shared" si="0"/>
        <v>59</v>
      </c>
      <c r="G72">
        <v>21</v>
      </c>
      <c r="H72">
        <f t="shared" si="7"/>
        <v>8</v>
      </c>
      <c r="I72">
        <f t="shared" si="8"/>
        <v>9</v>
      </c>
    </row>
    <row r="73" spans="6:9" x14ac:dyDescent="0.25">
      <c r="F73">
        <f t="shared" si="0"/>
        <v>60</v>
      </c>
      <c r="G73">
        <v>21</v>
      </c>
      <c r="H73">
        <f t="shared" si="7"/>
        <v>8</v>
      </c>
      <c r="I73">
        <f t="shared" si="8"/>
        <v>10</v>
      </c>
    </row>
    <row r="74" spans="6:9" x14ac:dyDescent="0.25">
      <c r="F74">
        <f t="shared" si="0"/>
        <v>61</v>
      </c>
      <c r="G74">
        <v>21</v>
      </c>
      <c r="H74">
        <f t="shared" si="7"/>
        <v>8</v>
      </c>
      <c r="I74">
        <f t="shared" si="8"/>
        <v>11</v>
      </c>
    </row>
    <row r="75" spans="6:9" x14ac:dyDescent="0.25">
      <c r="F75">
        <f t="shared" si="0"/>
        <v>62</v>
      </c>
      <c r="G75">
        <v>21</v>
      </c>
      <c r="H75">
        <f t="shared" si="7"/>
        <v>8</v>
      </c>
      <c r="I75">
        <f t="shared" si="8"/>
        <v>12</v>
      </c>
    </row>
    <row r="76" spans="6:9" x14ac:dyDescent="0.25">
      <c r="F76">
        <f t="shared" si="0"/>
        <v>63</v>
      </c>
      <c r="G76">
        <v>21</v>
      </c>
      <c r="H76">
        <f t="shared" si="7"/>
        <v>8</v>
      </c>
      <c r="I76">
        <f t="shared" si="8"/>
        <v>13</v>
      </c>
    </row>
    <row r="77" spans="6:9" x14ac:dyDescent="0.25">
      <c r="F77">
        <f t="shared" si="0"/>
        <v>64</v>
      </c>
      <c r="G77">
        <v>21</v>
      </c>
      <c r="H77">
        <f t="shared" si="7"/>
        <v>8</v>
      </c>
      <c r="I77">
        <f>I76</f>
        <v>13</v>
      </c>
    </row>
    <row r="78" spans="6:9" x14ac:dyDescent="0.25">
      <c r="F78">
        <f t="shared" si="0"/>
        <v>65</v>
      </c>
      <c r="G78">
        <v>21</v>
      </c>
      <c r="H78">
        <f t="shared" si="7"/>
        <v>8</v>
      </c>
      <c r="I78">
        <f t="shared" ref="I78:I80" si="9">I77</f>
        <v>13</v>
      </c>
    </row>
    <row r="79" spans="6:9" x14ac:dyDescent="0.25">
      <c r="F79">
        <f t="shared" ref="F79:F80" si="10">F78+1</f>
        <v>66</v>
      </c>
      <c r="G79">
        <v>21</v>
      </c>
      <c r="H79">
        <f t="shared" si="7"/>
        <v>8</v>
      </c>
      <c r="I79">
        <f t="shared" si="9"/>
        <v>13</v>
      </c>
    </row>
    <row r="80" spans="6:9" x14ac:dyDescent="0.25">
      <c r="F80">
        <f t="shared" si="10"/>
        <v>67</v>
      </c>
      <c r="G80">
        <v>21</v>
      </c>
      <c r="H80">
        <f t="shared" si="7"/>
        <v>8</v>
      </c>
      <c r="I80">
        <f t="shared" si="9"/>
        <v>13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3</vt:i4>
      </vt:variant>
    </vt:vector>
  </HeadingPairs>
  <TitlesOfParts>
    <vt:vector size="8" baseType="lpstr">
      <vt:lpstr>Introduktion og vejledning</vt:lpstr>
      <vt:lpstr>So lokalitet</vt:lpstr>
      <vt:lpstr>Vækst lokalitet</vt:lpstr>
      <vt:lpstr>DC-fradragsmodel</vt:lpstr>
      <vt:lpstr>Sanerings skitser</vt:lpstr>
      <vt:lpstr>'Introduktion og vejledning'!Udskriftsområde</vt:lpstr>
      <vt:lpstr>'So lokalitet'!Udskriftsområde</vt:lpstr>
      <vt:lpstr>'Vækst lokalitet'!Udskriftsområde</vt:lpstr>
    </vt:vector>
  </TitlesOfParts>
  <Company>SEGES Innovation - Virksomhedsøkonomi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Groes Christiansen</dc:creator>
  <cp:lastModifiedBy>Rikke Rasmussen</cp:lastModifiedBy>
  <cp:lastPrinted>2023-01-24T08:57:04Z</cp:lastPrinted>
  <dcterms:created xsi:type="dcterms:W3CDTF">2022-06-07T12:20:48Z</dcterms:created>
  <dcterms:modified xsi:type="dcterms:W3CDTF">2023-02-06T07:54:09Z</dcterms:modified>
</cp:coreProperties>
</file>