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1\150_HusdyrInno\5507-KAF-God-økonomi-uden-aflivning-af-Jersey-tyrekalve\1-Arbejdsmappe\RASS\"/>
    </mc:Choice>
  </mc:AlternateContent>
  <xr:revisionPtr revIDLastSave="0" documentId="13_ncr:1_{DC0BBA55-D1DF-48D7-8FEE-FC58A39BC2E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esultat" sheetId="4" r:id="rId1"/>
    <sheet name="Beregning nulpunkt" sheetId="5" r:id="rId2"/>
    <sheet name="Beregninger DB" sheetId="2" r:id="rId3"/>
    <sheet name="Foderpri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  <c r="D9" i="2"/>
  <c r="E9" i="2"/>
  <c r="K16" i="3" l="1"/>
  <c r="K15" i="3"/>
  <c r="D15" i="2" l="1"/>
  <c r="E15" i="2"/>
  <c r="F15" i="2"/>
  <c r="D16" i="2"/>
  <c r="E16" i="2"/>
  <c r="F16" i="2"/>
  <c r="C16" i="2"/>
  <c r="C15" i="2"/>
  <c r="E5" i="5" l="1"/>
  <c r="E6" i="5"/>
  <c r="E7" i="5"/>
  <c r="E4" i="5"/>
  <c r="F9" i="5" l="1"/>
  <c r="E26" i="2"/>
  <c r="E21" i="2"/>
  <c r="E25" i="2"/>
  <c r="F25" i="2" s="1"/>
  <c r="E14" i="2"/>
  <c r="F14" i="2" s="1"/>
  <c r="F5" i="2"/>
  <c r="E5" i="2"/>
  <c r="K9" i="3" l="1"/>
  <c r="K8" i="3"/>
  <c r="K7" i="3"/>
  <c r="M7" i="3" s="1"/>
  <c r="K5" i="3"/>
  <c r="L5" i="3" s="1"/>
  <c r="K4" i="3"/>
  <c r="L4" i="3" s="1"/>
  <c r="M8" i="3" l="1"/>
  <c r="L8" i="3"/>
  <c r="M9" i="3"/>
  <c r="L9" i="3"/>
  <c r="G9" i="5"/>
  <c r="E8" i="5"/>
  <c r="E9" i="5" l="1"/>
  <c r="K7" i="4"/>
  <c r="L7" i="4"/>
  <c r="N7" i="4"/>
  <c r="M7" i="4"/>
  <c r="N10" i="3"/>
  <c r="N9" i="3"/>
  <c r="N8" i="3"/>
  <c r="N7" i="3"/>
  <c r="N5" i="3"/>
  <c r="N4" i="3"/>
  <c r="C26" i="2"/>
  <c r="D26" i="2" s="1"/>
  <c r="F26" i="2" s="1"/>
  <c r="C25" i="2"/>
  <c r="D25" i="2" s="1"/>
  <c r="F22" i="2"/>
  <c r="E22" i="2"/>
  <c r="D22" i="2"/>
  <c r="C22" i="2"/>
  <c r="C21" i="2"/>
  <c r="D21" i="2" s="1"/>
  <c r="C14" i="2"/>
  <c r="C9" i="2"/>
  <c r="D8" i="2"/>
  <c r="E8" i="2"/>
  <c r="F8" i="2"/>
  <c r="C8" i="2"/>
  <c r="D7" i="2"/>
  <c r="E7" i="2"/>
  <c r="F7" i="2"/>
  <c r="C7" i="2"/>
  <c r="D5" i="2"/>
  <c r="C5" i="2"/>
  <c r="D45" i="4"/>
  <c r="L13" i="3" l="1"/>
  <c r="L12" i="3"/>
  <c r="C10" i="2"/>
  <c r="C6" i="2"/>
  <c r="C23" i="2" s="1"/>
  <c r="K9" i="4"/>
  <c r="L9" i="4"/>
  <c r="M9" i="4"/>
  <c r="N9" i="4"/>
  <c r="F24" i="2"/>
  <c r="C24" i="2"/>
  <c r="E24" i="2"/>
  <c r="D24" i="2"/>
  <c r="C27" i="2"/>
  <c r="E27" i="2"/>
  <c r="F21" i="2"/>
  <c r="C13" i="2"/>
  <c r="D14" i="2"/>
  <c r="D19" i="2" l="1"/>
  <c r="C19" i="2"/>
  <c r="F19" i="2"/>
  <c r="E19" i="2"/>
  <c r="D10" i="2"/>
  <c r="D6" i="2"/>
  <c r="D23" i="2" s="1"/>
  <c r="E10" i="2"/>
  <c r="E6" i="2"/>
  <c r="E23" i="2" s="1"/>
  <c r="F10" i="2"/>
  <c r="F6" i="2"/>
  <c r="F23" i="2" s="1"/>
  <c r="D27" i="2"/>
  <c r="E13" i="2"/>
  <c r="D13" i="2"/>
  <c r="M5" i="3"/>
  <c r="O5" i="3"/>
  <c r="O10" i="3"/>
  <c r="M4" i="3"/>
  <c r="F27" i="2" l="1"/>
  <c r="F13" i="2"/>
  <c r="O4" i="3"/>
  <c r="L11" i="3" s="1"/>
  <c r="O9" i="3"/>
  <c r="O7" i="3"/>
  <c r="O8" i="3"/>
  <c r="D18" i="2" l="1"/>
  <c r="E18" i="2"/>
  <c r="F18" i="2"/>
  <c r="C18" i="2"/>
  <c r="C17" i="2"/>
  <c r="C12" i="2" s="1"/>
  <c r="D17" i="2"/>
  <c r="D12" i="2" s="1"/>
  <c r="E17" i="2"/>
  <c r="E12" i="2" s="1"/>
  <c r="F17" i="2"/>
  <c r="F12" i="2" s="1"/>
  <c r="E20" i="2" l="1"/>
  <c r="C20" i="2"/>
  <c r="C28" i="2" s="1"/>
  <c r="D20" i="2"/>
  <c r="F11" i="2"/>
  <c r="D11" i="2"/>
  <c r="E11" i="2"/>
  <c r="C29" i="2" l="1"/>
  <c r="K6" i="4"/>
  <c r="F20" i="2"/>
  <c r="F28" i="2" s="1"/>
  <c r="N6" i="4" s="1"/>
  <c r="C11" i="2"/>
  <c r="F29" i="2" l="1"/>
  <c r="N8" i="4" s="1"/>
  <c r="D28" i="2" l="1"/>
  <c r="L6" i="4" s="1"/>
  <c r="K8" i="4" l="1"/>
  <c r="E28" i="2"/>
  <c r="M6" i="4" s="1"/>
  <c r="D29" i="2" l="1"/>
  <c r="L8" i="4" s="1"/>
  <c r="E29" i="2" l="1"/>
  <c r="M8" i="4" s="1"/>
</calcChain>
</file>

<file path=xl/sharedStrings.xml><?xml version="1.0" encoding="utf-8"?>
<sst xmlns="http://schemas.openxmlformats.org/spreadsheetml/2006/main" count="131" uniqueCount="115">
  <si>
    <t>Koncept</t>
  </si>
  <si>
    <t>Race</t>
  </si>
  <si>
    <t>Foderdage</t>
  </si>
  <si>
    <t>Slagtevægt (lev.)</t>
  </si>
  <si>
    <t>Slagteprocent</t>
  </si>
  <si>
    <t>Klassificering</t>
  </si>
  <si>
    <t>Foderomk. (kr.)</t>
  </si>
  <si>
    <t>Indkøbsvægt (kg)</t>
  </si>
  <si>
    <t>Forudsætninger</t>
  </si>
  <si>
    <t xml:space="preserve">Slagtet vægt </t>
  </si>
  <si>
    <t>Kg</t>
  </si>
  <si>
    <t>Køn</t>
  </si>
  <si>
    <t>Kvie</t>
  </si>
  <si>
    <t>Ekstensiv kvieproduktion</t>
  </si>
  <si>
    <t>JERxKØD</t>
  </si>
  <si>
    <t>Indkøbsalder, dage</t>
  </si>
  <si>
    <t>Stud</t>
  </si>
  <si>
    <t>Ekstensiv studeproduktion</t>
  </si>
  <si>
    <t>Slagtealder, dage</t>
  </si>
  <si>
    <t>Kg pris slagtet ekslv efterbet.</t>
  </si>
  <si>
    <t>FEN</t>
  </si>
  <si>
    <t>Transport</t>
  </si>
  <si>
    <t>Op til 12 uger</t>
  </si>
  <si>
    <t>Mineraler</t>
  </si>
  <si>
    <t>Sum</t>
  </si>
  <si>
    <t>Ældre dyr</t>
  </si>
  <si>
    <t>Bruttotilvækst i gram/dag</t>
  </si>
  <si>
    <t>Nettotilvækst i gram/dag</t>
  </si>
  <si>
    <t>Kr/kg</t>
  </si>
  <si>
    <t>Kr/FEN</t>
  </si>
  <si>
    <t>Værdi af slagtekalv, inkl. Efterbetaling</t>
  </si>
  <si>
    <t>Ja</t>
  </si>
  <si>
    <t>Rest beløb per kalv</t>
  </si>
  <si>
    <t>Rest beløb per dag</t>
  </si>
  <si>
    <t>Tung racexKØD</t>
  </si>
  <si>
    <t>Resultater</t>
  </si>
  <si>
    <t>Halm/dyrlæge omk. + studning</t>
  </si>
  <si>
    <t>Sødmælk/mælkeerstatining, kr./kg</t>
  </si>
  <si>
    <t>Kalvestarterblanding, kr./kg</t>
  </si>
  <si>
    <t>Sødmælk/mælkeerstatning á 5 liter dagligt</t>
  </si>
  <si>
    <t>Kalvestarterblanding á 0.5 kg dagligt</t>
  </si>
  <si>
    <t>Afgræsning med et optag på 4 FEN dagligt</t>
  </si>
  <si>
    <t>Græsensilage med et optag på 3 FEN dagligt</t>
  </si>
  <si>
    <t>Valset korn med et optag på 1 FEN dagligt</t>
  </si>
  <si>
    <t>Afræsning, kr./FE</t>
  </si>
  <si>
    <t>Græsensilage, kr./FE</t>
  </si>
  <si>
    <t>Korn, kr./FE</t>
  </si>
  <si>
    <t>Forventet efterbetaling, kr./kg</t>
  </si>
  <si>
    <t>Antal årsdyr</t>
  </si>
  <si>
    <t>Kapacitetsomkostninger</t>
  </si>
  <si>
    <t>Finanseringsomkostninger</t>
  </si>
  <si>
    <t>Ejeraflønning, årligt</t>
  </si>
  <si>
    <t>Effekt i resultaterne</t>
  </si>
  <si>
    <t>Nej</t>
  </si>
  <si>
    <t>Tab købt kalv</t>
  </si>
  <si>
    <t>Tab foder ved død kalv</t>
  </si>
  <si>
    <t>Per dag</t>
  </si>
  <si>
    <t>Kalvestarterblanding, kg dagligt</t>
  </si>
  <si>
    <t>Sødmælk/mælkeerstatning, liter dagligt</t>
  </si>
  <si>
    <t>Afgræsning, FEN dagligt</t>
  </si>
  <si>
    <t>Lønomkostninger og ejeraflønning, kr.</t>
  </si>
  <si>
    <t>Kapacitetsomkostninger, kr.</t>
  </si>
  <si>
    <t xml:space="preserve">Finanseringsomkostninger, kr. </t>
  </si>
  <si>
    <t>Indkøbspris (spædekalv, kg differencering)</t>
  </si>
  <si>
    <t>Gns foderpris mælkefodring, kr./FEN</t>
  </si>
  <si>
    <t>Foderforbrug FE/kg tilv. Grovfoder</t>
  </si>
  <si>
    <t>Foderforbrug FE/kg tilv. Mælk</t>
  </si>
  <si>
    <t>Vægt efter mælkefodringsperioden for Jersey krydsningskvie, kg</t>
  </si>
  <si>
    <t>Vægt slut mælkefodring</t>
  </si>
  <si>
    <t>Foderpris (kr./FE) - Grovfoder</t>
  </si>
  <si>
    <t>Foderpris (kr./FE) - Mælk</t>
  </si>
  <si>
    <t>Mælkefodring ved opfedningsbesætning, (Ja/Nej)</t>
  </si>
  <si>
    <r>
      <t xml:space="preserve">Mælkefodringsperiode, dage </t>
    </r>
    <r>
      <rPr>
        <sz val="12"/>
        <color theme="1"/>
        <rFont val="Calibri"/>
        <family val="2"/>
        <scheme val="minor"/>
      </rPr>
      <t>(mælkeproducent+opfedning)</t>
    </r>
  </si>
  <si>
    <t>Vægt efter mælkefodringsperioden for Jersey krydsningsstud, kg</t>
  </si>
  <si>
    <t>Slagtealder krydsningskvie, dage</t>
  </si>
  <si>
    <t>Slagtealder krydsningsstude, dage</t>
  </si>
  <si>
    <t>Slagtevægt jersey krydsningskvier, kg</t>
  </si>
  <si>
    <t>Slagtevægt jersey krydsningsstude, kg</t>
  </si>
  <si>
    <t>Formklassificering, jersey krydsningskvier</t>
  </si>
  <si>
    <t>Formklassificering, jersey krydsningsstude</t>
  </si>
  <si>
    <t>Slagteprocent jersey krydsningskvier, %</t>
  </si>
  <si>
    <t>Slagteprocent jersey krydsningsstude, %</t>
  </si>
  <si>
    <t>Dødelighed i hele opdrætsperioden, %</t>
  </si>
  <si>
    <t>Gennemsnitlig alder ved død, dage fra fødsel</t>
  </si>
  <si>
    <t>Græsensilage, FEN dagligt på stald</t>
  </si>
  <si>
    <t>Valset korn, FEN dagligt på stald</t>
  </si>
  <si>
    <t>Udgift til studning, kr. pr. kalv</t>
  </si>
  <si>
    <t>Slagtepræmie - krydsningskvie, kr. pr. kalv</t>
  </si>
  <si>
    <t>Græsningstillæg pr. årskvie, kr.</t>
  </si>
  <si>
    <t>Øget tillæg afregningspris, kr./kg</t>
  </si>
  <si>
    <t>Periode med afgræsning kvier</t>
  </si>
  <si>
    <t>Periode med afgræsning stude</t>
  </si>
  <si>
    <t>Gns foderpris grovfoder, kr./FEN ved krydsningskvier</t>
  </si>
  <si>
    <t>Gns foderpris grovfoder, kr./FEN ved krydsningsstude</t>
  </si>
  <si>
    <t>Mineraler, kr. pr. årskvie</t>
  </si>
  <si>
    <t>Antal måneder på afgræsning i levetiden, måneder</t>
  </si>
  <si>
    <t>Restbeløb pr. kalv</t>
  </si>
  <si>
    <t>Krav til restbeløb pr. årskalv</t>
  </si>
  <si>
    <t>Restbeløb pr. dag</t>
  </si>
  <si>
    <t>Krav til restbeløb pr. dag (årskalv)</t>
  </si>
  <si>
    <r>
      <t xml:space="preserve">Indkøbsvægt jersey krydsningskvie, kg </t>
    </r>
    <r>
      <rPr>
        <sz val="12"/>
        <color theme="1"/>
        <rFont val="Calibri"/>
        <family val="2"/>
        <scheme val="minor"/>
      </rPr>
      <t>(sættes til fødselsvægt, hvis der ikke handles)</t>
    </r>
  </si>
  <si>
    <r>
      <t xml:space="preserve">Indkøbsvægt jersey krydsningsstud, kg </t>
    </r>
    <r>
      <rPr>
        <sz val="12"/>
        <color theme="1"/>
        <rFont val="Calibri"/>
        <family val="2"/>
        <scheme val="minor"/>
      </rPr>
      <t>(sættes til fødselsvægt, hvis der ikke handles)</t>
    </r>
  </si>
  <si>
    <t>Spædekalvepris for kalv på 50 kg, kr. pr. kalv</t>
  </si>
  <si>
    <r>
      <t xml:space="preserve">Kg tillæg/fradrag for levende vægt 30-70 kg, kr./kg </t>
    </r>
    <r>
      <rPr>
        <sz val="12"/>
        <color theme="1"/>
        <rFont val="Calibri"/>
        <family val="2"/>
        <scheme val="minor"/>
      </rPr>
      <t>(sættes til 0 hvis der ikke handles)</t>
    </r>
  </si>
  <si>
    <r>
      <t>Kg tillæg for levende vægt over 70 kg, kr./kg</t>
    </r>
    <r>
      <rPr>
        <sz val="12"/>
        <color theme="1"/>
        <rFont val="Calibri"/>
        <family val="2"/>
        <scheme val="minor"/>
      </rPr>
      <t xml:space="preserve"> (sættes til 0 hvis der ikke handles)</t>
    </r>
  </si>
  <si>
    <r>
      <t xml:space="preserve">Transportudgifter, kr. </t>
    </r>
    <r>
      <rPr>
        <sz val="12"/>
        <color theme="1"/>
        <rFont val="Calibri"/>
        <family val="2"/>
        <scheme val="minor"/>
      </rPr>
      <t>(sættes til 0, hvis der ikke handles)</t>
    </r>
  </si>
  <si>
    <r>
      <t>Alder ved indkøb, dage</t>
    </r>
    <r>
      <rPr>
        <sz val="12"/>
        <color theme="1"/>
        <rFont val="Calibri"/>
        <family val="2"/>
        <scheme val="minor"/>
      </rPr>
      <t xml:space="preserve"> (sættes til 0, hvis der ikke handles)</t>
    </r>
  </si>
  <si>
    <t>FE/kg bruttotilvækst, mælkefodring 0-3 mdr.</t>
  </si>
  <si>
    <t>FE/kg bruttotilvækst, grovfoder over 3 mdr.</t>
  </si>
  <si>
    <t>Kg pris uden efterbetal. jersey krydsningskvier, kr./kg</t>
  </si>
  <si>
    <t>Kg pris uden efterbetal. jersey krydsningsstude, kr./kg</t>
  </si>
  <si>
    <t>Daka, kr. pr. død kalv</t>
  </si>
  <si>
    <t>Halm og dyrlægeomk. i levetiden, kr. pr. kalv</t>
  </si>
  <si>
    <t>Nul punktspris pr. dag</t>
  </si>
  <si>
    <t>Nul punktspris pr. dyr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</si>
</sst>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0.0"/>
    <numFmt numFmtId="165" formatCode="_-* #,##0.00\ [$kr.-406]_-;\-* #,##0.00\ [$kr.-406]_-;_-* &quot;-&quot;??\ [$kr.-406]_-;_-@_-"/>
    <numFmt numFmtId="166" formatCode="_-* #,##0_-;\-* #,##0_-;_-* &quot;-&quot;??_-;_-@_-"/>
    <numFmt numFmtId="167" formatCode="_-* #,##0.0\ [$kr.-406]_-;\-* #,##0.0\ [$kr.-406]_-;_-* &quot;-&quot;??\ [$kr.-406]_-;_-@_-"/>
    <numFmt numFmtId="168" formatCode="_-* #,##0\ [$kr.-406]_-;\-* #,##0\ [$kr.-406]_-;_-* &quot;-&quot;??\ [$kr.-406]_-;_-@_-"/>
    <numFmt numFmtId="169" formatCode="0.0%"/>
    <numFmt numFmtId="170" formatCode="_-* #,##0.0\ &quot;kr.&quot;_-;\-* #,##0.0\ &quot;kr.&quot;_-;_-* &quot;-&quot;??\ &quot;kr.&quot;_-;_-@_-"/>
    <numFmt numFmtId="171" formatCode="_-* #,##0\ &quot;kr.&quot;_-;\-* #,##0\ &quot;kr.&quot;_-;_-* &quot;-&quot;??\ &quot;kr.&quot;_-;_-@_-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5">
    <xf numFmtId="0" fontId="0" fillId="0" borderId="0" xfId="0"/>
    <xf numFmtId="0" fontId="0" fillId="2" borderId="0" xfId="0" applyFill="1" applyBorder="1"/>
    <xf numFmtId="167" fontId="0" fillId="2" borderId="0" xfId="0" applyNumberFormat="1" applyFill="1" applyBorder="1"/>
    <xf numFmtId="168" fontId="0" fillId="2" borderId="6" xfId="0" applyNumberFormat="1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0" xfId="0" applyNumberForma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9" xfId="0" applyFill="1" applyBorder="1"/>
    <xf numFmtId="0" fontId="0" fillId="2" borderId="2" xfId="0" applyFill="1" applyBorder="1"/>
    <xf numFmtId="167" fontId="0" fillId="2" borderId="2" xfId="0" applyNumberFormat="1" applyFill="1" applyBorder="1"/>
    <xf numFmtId="168" fontId="0" fillId="2" borderId="12" xfId="0" applyNumberFormat="1" applyFill="1" applyBorder="1"/>
    <xf numFmtId="0" fontId="0" fillId="2" borderId="1" xfId="0" applyFill="1" applyBorder="1"/>
    <xf numFmtId="168" fontId="0" fillId="2" borderId="13" xfId="0" applyNumberFormat="1" applyFill="1" applyBorder="1"/>
    <xf numFmtId="168" fontId="0" fillId="2" borderId="2" xfId="0" applyNumberFormat="1" applyFill="1" applyBorder="1"/>
    <xf numFmtId="1" fontId="0" fillId="2" borderId="2" xfId="0" applyNumberFormat="1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0" xfId="0" applyFill="1"/>
    <xf numFmtId="17" fontId="2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165" fontId="0" fillId="2" borderId="0" xfId="0" applyNumberFormat="1" applyFill="1"/>
    <xf numFmtId="0" fontId="6" fillId="2" borderId="19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44" fontId="0" fillId="2" borderId="0" xfId="0" applyNumberFormat="1" applyFill="1"/>
    <xf numFmtId="44" fontId="0" fillId="5" borderId="21" xfId="0" applyNumberFormat="1" applyFill="1" applyBorder="1"/>
    <xf numFmtId="0" fontId="8" fillId="2" borderId="5" xfId="0" applyFont="1" applyFill="1" applyBorder="1"/>
    <xf numFmtId="0" fontId="8" fillId="2" borderId="8" xfId="0" applyFont="1" applyFill="1" applyBorder="1"/>
    <xf numFmtId="0" fontId="0" fillId="2" borderId="3" xfId="0" applyFont="1" applyFill="1" applyBorder="1"/>
    <xf numFmtId="0" fontId="0" fillId="2" borderId="5" xfId="0" applyFont="1" applyFill="1" applyBorder="1"/>
    <xf numFmtId="44" fontId="9" fillId="2" borderId="0" xfId="0" applyNumberFormat="1" applyFont="1" applyFill="1"/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0" fillId="2" borderId="19" xfId="0" applyFill="1" applyBorder="1"/>
    <xf numFmtId="165" fontId="0" fillId="2" borderId="0" xfId="0" applyNumberFormat="1" applyFill="1" applyBorder="1"/>
    <xf numFmtId="2" fontId="0" fillId="2" borderId="0" xfId="0" applyNumberFormat="1" applyFill="1"/>
    <xf numFmtId="164" fontId="0" fillId="2" borderId="0" xfId="0" applyNumberFormat="1" applyFill="1"/>
    <xf numFmtId="167" fontId="0" fillId="2" borderId="1" xfId="0" applyNumberFormat="1" applyFill="1" applyBorder="1"/>
    <xf numFmtId="0" fontId="0" fillId="4" borderId="0" xfId="0" applyFill="1" applyBorder="1"/>
    <xf numFmtId="0" fontId="0" fillId="4" borderId="2" xfId="0" applyFill="1" applyBorder="1"/>
    <xf numFmtId="0" fontId="0" fillId="4" borderId="1" xfId="0" applyFill="1" applyBorder="1"/>
    <xf numFmtId="165" fontId="0" fillId="5" borderId="0" xfId="0" applyNumberFormat="1" applyFill="1" applyBorder="1"/>
    <xf numFmtId="165" fontId="0" fillId="5" borderId="10" xfId="0" applyNumberFormat="1" applyFill="1" applyBorder="1"/>
    <xf numFmtId="0" fontId="0" fillId="4" borderId="10" xfId="0" applyFill="1" applyBorder="1"/>
    <xf numFmtId="9" fontId="0" fillId="2" borderId="0" xfId="5" applyFont="1" applyFill="1" applyBorder="1"/>
    <xf numFmtId="0" fontId="0" fillId="2" borderId="20" xfId="0" applyFill="1" applyBorder="1"/>
    <xf numFmtId="168" fontId="6" fillId="3" borderId="6" xfId="0" applyNumberFormat="1" applyFont="1" applyFill="1" applyBorder="1" applyAlignment="1">
      <alignment horizontal="right"/>
    </xf>
    <xf numFmtId="0" fontId="6" fillId="3" borderId="4" xfId="0" applyFont="1" applyFill="1" applyBorder="1"/>
    <xf numFmtId="0" fontId="6" fillId="3" borderId="6" xfId="0" applyFont="1" applyFill="1" applyBorder="1"/>
    <xf numFmtId="44" fontId="6" fillId="3" borderId="6" xfId="4" applyFont="1" applyFill="1" applyBorder="1"/>
    <xf numFmtId="171" fontId="6" fillId="3" borderId="6" xfId="4" applyNumberFormat="1" applyFont="1" applyFill="1" applyBorder="1"/>
    <xf numFmtId="0" fontId="6" fillId="3" borderId="9" xfId="0" applyFont="1" applyFill="1" applyBorder="1"/>
    <xf numFmtId="170" fontId="6" fillId="3" borderId="6" xfId="4" applyNumberFormat="1" applyFont="1" applyFill="1" applyBorder="1"/>
    <xf numFmtId="170" fontId="6" fillId="3" borderId="9" xfId="4" applyNumberFormat="1" applyFont="1" applyFill="1" applyBorder="1"/>
    <xf numFmtId="168" fontId="6" fillId="3" borderId="6" xfId="0" applyNumberFormat="1" applyFont="1" applyFill="1" applyBorder="1"/>
    <xf numFmtId="171" fontId="6" fillId="3" borderId="9" xfId="4" applyNumberFormat="1" applyFont="1" applyFill="1" applyBorder="1"/>
    <xf numFmtId="168" fontId="6" fillId="3" borderId="9" xfId="0" applyNumberFormat="1" applyFont="1" applyFill="1" applyBorder="1"/>
    <xf numFmtId="2" fontId="0" fillId="2" borderId="0" xfId="4" applyNumberFormat="1" applyFont="1" applyFill="1" applyBorder="1"/>
    <xf numFmtId="0" fontId="5" fillId="2" borderId="22" xfId="0" applyFont="1" applyFill="1" applyBorder="1"/>
    <xf numFmtId="0" fontId="6" fillId="2" borderId="3" xfId="0" applyFont="1" applyFill="1" applyBorder="1"/>
    <xf numFmtId="0" fontId="6" fillId="2" borderId="5" xfId="0" applyFont="1" applyFill="1" applyBorder="1"/>
    <xf numFmtId="0" fontId="6" fillId="2" borderId="8" xfId="0" applyFont="1" applyFill="1" applyBorder="1"/>
    <xf numFmtId="0" fontId="6" fillId="2" borderId="18" xfId="0" applyFont="1" applyFill="1" applyBorder="1"/>
    <xf numFmtId="168" fontId="6" fillId="3" borderId="19" xfId="0" applyNumberFormat="1" applyFont="1" applyFill="1" applyBorder="1" applyAlignment="1">
      <alignment horizontal="right"/>
    </xf>
    <xf numFmtId="0" fontId="6" fillId="3" borderId="20" xfId="0" applyFont="1" applyFill="1" applyBorder="1" applyAlignment="1">
      <alignment horizontal="right"/>
    </xf>
    <xf numFmtId="0" fontId="6" fillId="3" borderId="20" xfId="0" applyFont="1" applyFill="1" applyBorder="1"/>
    <xf numFmtId="168" fontId="6" fillId="3" borderId="20" xfId="0" applyNumberFormat="1" applyFont="1" applyFill="1" applyBorder="1" applyAlignment="1">
      <alignment horizontal="right"/>
    </xf>
    <xf numFmtId="1" fontId="6" fillId="3" borderId="21" xfId="0" applyNumberFormat="1" applyFont="1" applyFill="1" applyBorder="1"/>
    <xf numFmtId="0" fontId="6" fillId="3" borderId="19" xfId="0" applyFont="1" applyFill="1" applyBorder="1"/>
    <xf numFmtId="169" fontId="6" fillId="3" borderId="20" xfId="5" applyNumberFormat="1" applyFont="1" applyFill="1" applyBorder="1"/>
    <xf numFmtId="164" fontId="6" fillId="3" borderId="20" xfId="0" applyNumberFormat="1" applyFont="1" applyFill="1" applyBorder="1"/>
    <xf numFmtId="171" fontId="6" fillId="3" borderId="20" xfId="4" applyNumberFormat="1" applyFont="1" applyFill="1" applyBorder="1"/>
    <xf numFmtId="0" fontId="6" fillId="3" borderId="21" xfId="0" applyFont="1" applyFill="1" applyBorder="1"/>
    <xf numFmtId="170" fontId="6" fillId="3" borderId="20" xfId="4" applyNumberFormat="1" applyFont="1" applyFill="1" applyBorder="1"/>
    <xf numFmtId="0" fontId="6" fillId="2" borderId="4" xfId="0" applyFont="1" applyFill="1" applyBorder="1"/>
    <xf numFmtId="0" fontId="6" fillId="2" borderId="6" xfId="0" applyFont="1" applyFill="1" applyBorder="1"/>
    <xf numFmtId="0" fontId="6" fillId="2" borderId="9" xfId="0" applyFont="1" applyFill="1" applyBorder="1"/>
    <xf numFmtId="171" fontId="6" fillId="3" borderId="21" xfId="4" applyNumberFormat="1" applyFont="1" applyFill="1" applyBorder="1"/>
    <xf numFmtId="0" fontId="10" fillId="2" borderId="5" xfId="0" applyFont="1" applyFill="1" applyBorder="1"/>
    <xf numFmtId="171" fontId="10" fillId="2" borderId="0" xfId="4" applyNumberFormat="1" applyFont="1" applyFill="1" applyBorder="1"/>
    <xf numFmtId="171" fontId="10" fillId="2" borderId="6" xfId="4" applyNumberFormat="1" applyFont="1" applyFill="1" applyBorder="1"/>
    <xf numFmtId="0" fontId="10" fillId="2" borderId="8" xfId="0" applyFont="1" applyFill="1" applyBorder="1"/>
    <xf numFmtId="44" fontId="10" fillId="2" borderId="10" xfId="0" applyNumberFormat="1" applyFont="1" applyFill="1" applyBorder="1"/>
    <xf numFmtId="44" fontId="10" fillId="2" borderId="9" xfId="0" applyNumberFormat="1" applyFont="1" applyFill="1" applyBorder="1"/>
    <xf numFmtId="44" fontId="10" fillId="2" borderId="0" xfId="4" applyFont="1" applyFill="1" applyBorder="1"/>
    <xf numFmtId="44" fontId="10" fillId="2" borderId="6" xfId="4" applyFont="1" applyFill="1" applyBorder="1"/>
    <xf numFmtId="171" fontId="10" fillId="2" borderId="5" xfId="4" applyNumberFormat="1" applyFont="1" applyFill="1" applyBorder="1"/>
    <xf numFmtId="44" fontId="10" fillId="2" borderId="5" xfId="4" applyFont="1" applyFill="1" applyBorder="1" applyAlignment="1">
      <alignment horizontal="center"/>
    </xf>
    <xf numFmtId="44" fontId="10" fillId="2" borderId="8" xfId="0" applyNumberFormat="1" applyFont="1" applyFill="1" applyBorder="1"/>
    <xf numFmtId="171" fontId="10" fillId="2" borderId="14" xfId="4" applyNumberFormat="1" applyFont="1" applyFill="1" applyBorder="1"/>
    <xf numFmtId="171" fontId="10" fillId="2" borderId="2" xfId="4" applyNumberFormat="1" applyFont="1" applyFill="1" applyBorder="1"/>
    <xf numFmtId="171" fontId="10" fillId="2" borderId="12" xfId="4" applyNumberFormat="1" applyFont="1" applyFill="1" applyBorder="1"/>
    <xf numFmtId="171" fontId="0" fillId="5" borderId="20" xfId="0" applyNumberFormat="1" applyFill="1" applyBorder="1"/>
    <xf numFmtId="0" fontId="5" fillId="0" borderId="18" xfId="0" applyFont="1" applyBorder="1"/>
    <xf numFmtId="0" fontId="12" fillId="2" borderId="3" xfId="0" applyFont="1" applyFill="1" applyBorder="1" applyProtection="1">
      <protection locked="0"/>
    </xf>
    <xf numFmtId="0" fontId="12" fillId="2" borderId="5" xfId="0" applyFont="1" applyFill="1" applyBorder="1" applyProtection="1"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2" borderId="8" xfId="0" applyFont="1" applyFill="1" applyBorder="1" applyProtection="1">
      <protection locked="0"/>
    </xf>
    <xf numFmtId="0" fontId="12" fillId="2" borderId="8" xfId="0" applyFont="1" applyFill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3" fontId="12" fillId="2" borderId="5" xfId="0" applyNumberFormat="1" applyFont="1" applyFill="1" applyBorder="1" applyAlignment="1" applyProtection="1">
      <alignment horizontal="center" vertical="center"/>
      <protection locked="0"/>
    </xf>
    <xf numFmtId="3" fontId="12" fillId="2" borderId="0" xfId="0" applyNumberFormat="1" applyFont="1" applyFill="1" applyBorder="1" applyAlignment="1" applyProtection="1">
      <alignment horizontal="center" vertical="center"/>
      <protection locked="0"/>
    </xf>
    <xf numFmtId="3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/>
    <xf numFmtId="0" fontId="11" fillId="2" borderId="1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66" fontId="12" fillId="2" borderId="5" xfId="3" applyNumberFormat="1" applyFont="1" applyFill="1" applyBorder="1" applyAlignment="1" applyProtection="1">
      <alignment horizontal="center" vertical="center"/>
      <protection locked="0"/>
    </xf>
    <xf numFmtId="166" fontId="12" fillId="2" borderId="0" xfId="3" applyNumberFormat="1" applyFont="1" applyFill="1" applyBorder="1" applyAlignment="1" applyProtection="1">
      <alignment horizontal="center" vertical="center"/>
      <protection locked="0"/>
    </xf>
    <xf numFmtId="166" fontId="12" fillId="2" borderId="6" xfId="3" applyNumberFormat="1" applyFont="1" applyFill="1" applyBorder="1" applyAlignment="1" applyProtection="1">
      <alignment horizontal="center" vertical="center"/>
      <protection locked="0"/>
    </xf>
    <xf numFmtId="1" fontId="12" fillId="2" borderId="5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Protection="1"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2" fontId="12" fillId="2" borderId="5" xfId="0" applyNumberFormat="1" applyFont="1" applyFill="1" applyBorder="1" applyAlignment="1" applyProtection="1">
      <alignment horizontal="center" vertical="center"/>
      <protection locked="0"/>
    </xf>
    <xf numFmtId="2" fontId="12" fillId="2" borderId="0" xfId="0" applyNumberFormat="1" applyFont="1" applyFill="1" applyBorder="1" applyAlignment="1" applyProtection="1">
      <alignment horizontal="center" vertical="center"/>
      <protection locked="0"/>
    </xf>
    <xf numFmtId="2" fontId="12" fillId="2" borderId="6" xfId="0" applyNumberFormat="1" applyFont="1" applyFill="1" applyBorder="1" applyAlignment="1" applyProtection="1">
      <alignment horizontal="center" vertical="center"/>
      <protection locked="0"/>
    </xf>
    <xf numFmtId="1" fontId="12" fillId="2" borderId="5" xfId="0" applyNumberFormat="1" applyFont="1" applyFill="1" applyBorder="1" applyAlignment="1" applyProtection="1">
      <alignment horizontal="center" vertical="center"/>
    </xf>
    <xf numFmtId="1" fontId="12" fillId="2" borderId="0" xfId="0" applyNumberFormat="1" applyFont="1" applyFill="1" applyBorder="1" applyAlignment="1" applyProtection="1">
      <alignment horizontal="center" vertical="center"/>
    </xf>
    <xf numFmtId="1" fontId="12" fillId="2" borderId="6" xfId="0" applyNumberFormat="1" applyFont="1" applyFill="1" applyBorder="1" applyAlignment="1" applyProtection="1">
      <alignment horizontal="center" vertical="center"/>
    </xf>
    <xf numFmtId="44" fontId="12" fillId="2" borderId="5" xfId="4" applyFont="1" applyFill="1" applyBorder="1" applyAlignment="1" applyProtection="1">
      <alignment horizontal="center" vertical="center"/>
    </xf>
    <xf numFmtId="44" fontId="12" fillId="2" borderId="0" xfId="4" applyFont="1" applyFill="1" applyBorder="1" applyAlignment="1" applyProtection="1">
      <alignment horizontal="center" vertical="center"/>
    </xf>
    <xf numFmtId="44" fontId="12" fillId="2" borderId="6" xfId="4" applyFont="1" applyFill="1" applyBorder="1" applyAlignment="1" applyProtection="1">
      <alignment horizontal="center" vertical="center"/>
    </xf>
    <xf numFmtId="44" fontId="12" fillId="2" borderId="5" xfId="4" applyFont="1" applyFill="1" applyBorder="1" applyAlignment="1" applyProtection="1">
      <alignment horizontal="center" vertical="center"/>
      <protection locked="0"/>
    </xf>
    <xf numFmtId="44" fontId="12" fillId="2" borderId="0" xfId="4" applyFont="1" applyFill="1" applyBorder="1" applyAlignment="1" applyProtection="1">
      <alignment horizontal="center" vertical="center"/>
      <protection locked="0"/>
    </xf>
    <xf numFmtId="44" fontId="12" fillId="2" borderId="6" xfId="4" applyFont="1" applyFill="1" applyBorder="1" applyAlignment="1" applyProtection="1">
      <alignment horizontal="center" vertical="center"/>
      <protection locked="0"/>
    </xf>
    <xf numFmtId="3" fontId="12" fillId="2" borderId="14" xfId="0" applyNumberFormat="1" applyFont="1" applyFill="1" applyBorder="1" applyAlignment="1" applyProtection="1">
      <alignment horizontal="center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3" fontId="12" fillId="2" borderId="12" xfId="0" applyNumberFormat="1" applyFont="1" applyFill="1" applyBorder="1" applyAlignment="1" applyProtection="1">
      <alignment horizontal="center" vertical="center"/>
    </xf>
    <xf numFmtId="169" fontId="12" fillId="2" borderId="5" xfId="0" applyNumberFormat="1" applyFont="1" applyFill="1" applyBorder="1" applyAlignment="1" applyProtection="1">
      <alignment horizontal="center" vertical="center"/>
      <protection locked="0"/>
    </xf>
    <xf numFmtId="169" fontId="12" fillId="2" borderId="0" xfId="0" applyNumberFormat="1" applyFont="1" applyFill="1" applyBorder="1" applyAlignment="1" applyProtection="1">
      <alignment horizontal="center" vertical="center"/>
      <protection locked="0"/>
    </xf>
    <xf numFmtId="169" fontId="12" fillId="2" borderId="6" xfId="0" applyNumberFormat="1" applyFont="1" applyFill="1" applyBorder="1" applyAlignment="1" applyProtection="1">
      <alignment horizontal="center" vertical="center"/>
      <protection locked="0"/>
    </xf>
    <xf numFmtId="164" fontId="12" fillId="2" borderId="5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horizontal="center" vertical="center"/>
      <protection locked="0"/>
    </xf>
    <xf numFmtId="165" fontId="12" fillId="2" borderId="5" xfId="0" applyNumberFormat="1" applyFont="1" applyFill="1" applyBorder="1" applyAlignment="1" applyProtection="1">
      <alignment horizontal="center" vertical="center"/>
      <protection locked="0"/>
    </xf>
    <xf numFmtId="165" fontId="12" fillId="2" borderId="0" xfId="0" applyNumberFormat="1" applyFont="1" applyFill="1" applyBorder="1" applyAlignment="1" applyProtection="1">
      <alignment horizontal="center" vertical="center"/>
      <protection locked="0"/>
    </xf>
    <xf numFmtId="165" fontId="12" fillId="2" borderId="6" xfId="0" applyNumberFormat="1" applyFont="1" applyFill="1" applyBorder="1" applyAlignment="1" applyProtection="1">
      <alignment horizontal="center" vertical="center"/>
      <protection locked="0"/>
    </xf>
    <xf numFmtId="168" fontId="12" fillId="2" borderId="14" xfId="0" applyNumberFormat="1" applyFont="1" applyFill="1" applyBorder="1" applyAlignment="1" applyProtection="1">
      <alignment horizontal="center" vertical="center"/>
      <protection locked="0"/>
    </xf>
    <xf numFmtId="168" fontId="12" fillId="2" borderId="2" xfId="0" applyNumberFormat="1" applyFont="1" applyFill="1" applyBorder="1" applyAlignment="1" applyProtection="1">
      <alignment horizontal="center" vertical="center"/>
      <protection locked="0"/>
    </xf>
    <xf numFmtId="168" fontId="12" fillId="2" borderId="12" xfId="0" applyNumberFormat="1" applyFont="1" applyFill="1" applyBorder="1" applyAlignment="1" applyProtection="1">
      <alignment horizontal="center" vertical="center"/>
      <protection locked="0"/>
    </xf>
    <xf numFmtId="168" fontId="12" fillId="2" borderId="5" xfId="0" applyNumberFormat="1" applyFont="1" applyFill="1" applyBorder="1" applyAlignment="1" applyProtection="1">
      <alignment horizontal="center" vertical="center"/>
      <protection locked="0"/>
    </xf>
    <xf numFmtId="168" fontId="12" fillId="2" borderId="0" xfId="0" applyNumberFormat="1" applyFont="1" applyFill="1" applyBorder="1" applyAlignment="1" applyProtection="1">
      <alignment horizontal="center" vertical="center"/>
      <protection locked="0"/>
    </xf>
    <xf numFmtId="168" fontId="12" fillId="2" borderId="6" xfId="0" applyNumberFormat="1" applyFont="1" applyFill="1" applyBorder="1" applyAlignment="1" applyProtection="1">
      <alignment horizontal="center" vertical="center"/>
      <protection locked="0"/>
    </xf>
    <xf numFmtId="165" fontId="12" fillId="2" borderId="8" xfId="0" applyNumberFormat="1" applyFont="1" applyFill="1" applyBorder="1" applyAlignment="1" applyProtection="1">
      <alignment horizontal="center" vertical="center"/>
      <protection locked="0"/>
    </xf>
    <xf numFmtId="165" fontId="12" fillId="2" borderId="10" xfId="0" applyNumberFormat="1" applyFont="1" applyFill="1" applyBorder="1" applyAlignment="1" applyProtection="1">
      <alignment horizontal="center" vertical="center"/>
      <protection locked="0"/>
    </xf>
    <xf numFmtId="165" fontId="12" fillId="2" borderId="9" xfId="0" applyNumberFormat="1" applyFont="1" applyFill="1" applyBorder="1" applyAlignment="1" applyProtection="1">
      <alignment horizontal="center" vertical="center"/>
      <protection locked="0"/>
    </xf>
    <xf numFmtId="171" fontId="0" fillId="2" borderId="20" xfId="4" applyNumberFormat="1" applyFont="1" applyFill="1" applyBorder="1"/>
    <xf numFmtId="171" fontId="0" fillId="2" borderId="21" xfId="4" applyNumberFormat="1" applyFont="1" applyFill="1" applyBorder="1"/>
    <xf numFmtId="0" fontId="0" fillId="2" borderId="5" xfId="0" applyFill="1" applyBorder="1" applyAlignment="1">
      <alignment horizontal="center" vertical="center"/>
    </xf>
    <xf numFmtId="9" fontId="0" fillId="2" borderId="0" xfId="5" applyFont="1" applyFill="1"/>
    <xf numFmtId="0" fontId="9" fillId="2" borderId="1" xfId="0" applyFont="1" applyFill="1" applyBorder="1"/>
    <xf numFmtId="9" fontId="9" fillId="2" borderId="0" xfId="5" applyFont="1" applyFill="1" applyBorder="1"/>
    <xf numFmtId="0" fontId="9" fillId="2" borderId="0" xfId="0" applyFont="1" applyFill="1"/>
    <xf numFmtId="9" fontId="9" fillId="2" borderId="0" xfId="5" applyNumberFormat="1" applyFont="1" applyFill="1"/>
    <xf numFmtId="9" fontId="9" fillId="2" borderId="0" xfId="5" applyFont="1" applyFill="1"/>
    <xf numFmtId="0" fontId="10" fillId="2" borderId="5" xfId="0" applyFont="1" applyFill="1" applyBorder="1" applyProtection="1"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6">
    <cellStyle name="Komma" xfId="3" builtinId="3"/>
    <cellStyle name="Komma 2" xfId="2" xr:uid="{0BFA3085-469E-42F9-979A-A83294A1DD89}"/>
    <cellStyle name="Normal" xfId="0" builtinId="0"/>
    <cellStyle name="Normal 2" xfId="1" xr:uid="{F1627EAE-71B7-486B-9326-9AC930D1A757}"/>
    <cellStyle name="Procent" xfId="5" builtinId="5"/>
    <cellStyle name="Valuta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550333</xdr:colOff>
      <xdr:row>10</xdr:row>
      <xdr:rowOff>180178</xdr:rowOff>
    </xdr:from>
    <xdr:to>
      <xdr:col>14</xdr:col>
      <xdr:colOff>63500</xdr:colOff>
      <xdr:row>35</xdr:row>
      <xdr:rowOff>178592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F328E49-4E8D-4916-8CD5-0555483342AE}"/>
            </a:ext>
          </a:extLst>
        </xdr:cNvPr>
        <xdr:cNvSpPr txBox="1"/>
      </xdr:nvSpPr>
      <xdr:spPr>
        <a:xfrm>
          <a:off x="12432771" y="3097209"/>
          <a:ext cx="11240823" cy="6582571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da-DK" sz="2000" b="1"/>
            <a:t>Vigtig</a:t>
          </a:r>
          <a:r>
            <a:rPr lang="da-DK" sz="2000" b="1" baseline="0"/>
            <a:t> information for anvendelsen af dette regneark</a:t>
          </a:r>
        </a:p>
        <a:p>
          <a:endParaRPr lang="da-DK" sz="2000" baseline="0"/>
        </a:p>
        <a:p>
          <a:r>
            <a:rPr lang="da-DK" sz="2000" baseline="0"/>
            <a:t>Indtast dine forudsætninger i det orange felt til venstre for denne tekstboks.</a:t>
          </a:r>
        </a:p>
        <a:p>
          <a:endParaRPr lang="da-DK" sz="2000" baseline="0"/>
        </a:p>
        <a:p>
          <a:r>
            <a:rPr lang="da-DK" sz="2000" baseline="0"/>
            <a:t>Ved indtastning af forudsætninger for slagteresultater gøres dette for jersey krydsningskvier og stude. Modellen regner selv ud, hvad den forventede effekt ville være ved tung race.</a:t>
          </a:r>
        </a:p>
        <a:p>
          <a:r>
            <a:rPr lang="da-DK" sz="2000" baseline="0"/>
            <a:t>Ønskes der bestemte værdier for tung race, kan man kalibrere værdierne for jersey kvie/stude kategorierne til det ønskede niveau for tung race.</a:t>
          </a:r>
        </a:p>
        <a:p>
          <a:endParaRPr lang="da-DK" sz="2000" baseline="0"/>
        </a:p>
        <a:p>
          <a:r>
            <a:rPr lang="da-DK" sz="2000" baseline="0"/>
            <a:t>Dine forudsætninger bliver anvendt til at beregne det forventede restbeløb pr. dag og pr. årskvie.</a:t>
          </a:r>
        </a:p>
        <a:p>
          <a:endParaRPr lang="da-DK" sz="2000" baseline="0"/>
        </a:p>
        <a:p>
          <a:r>
            <a:rPr lang="da-DK" sz="2000" baseline="0"/>
            <a:t>Hvis du ønsker at kende dit nulpunkt, kan du indtaste dine økonomiske forudsætninger under fanen "Beregning nulpunkt"</a:t>
          </a:r>
        </a:p>
        <a:p>
          <a:r>
            <a:rPr lang="da-DK" sz="2000" baseline="0"/>
            <a:t>Dine økonomiske forudsætninger anvendes til at vurdere, om det er en god forretning for dig.</a:t>
          </a:r>
        </a:p>
        <a:p>
          <a:endParaRPr lang="da-DK" sz="2000" baseline="0"/>
        </a:p>
        <a:p>
          <a:r>
            <a:rPr lang="da-DK" sz="2000" baseline="0"/>
            <a:t>Trafiklyset er defineret under "Resultater" som</a:t>
          </a:r>
        </a:p>
        <a:p>
          <a:r>
            <a:rPr lang="da-DK" sz="2000"/>
            <a:t>Grøn: Så tjener du</a:t>
          </a:r>
          <a:r>
            <a:rPr lang="da-DK" sz="2000" baseline="0"/>
            <a:t> din ejeraflønning dobbelt hjem</a:t>
          </a:r>
        </a:p>
        <a:p>
          <a:r>
            <a:rPr lang="da-DK" sz="2000" baseline="0"/>
            <a:t>Gul: Du får en del af din ejeraflønning eller lidt mere</a:t>
          </a:r>
        </a:p>
        <a:p>
          <a:r>
            <a:rPr lang="da-DK" sz="2000" baseline="0"/>
            <a:t>Rød: Der ingen ejeraflønning og muligvis underskud</a:t>
          </a:r>
          <a:endParaRPr lang="da-DK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3BF59-A5C3-4CBD-96FE-A72316E78DF5}">
  <dimension ref="C2:N51"/>
  <sheetViews>
    <sheetView tabSelected="1" zoomScale="110" zoomScaleNormal="110" workbookViewId="0">
      <selection activeCell="H8" sqref="H8"/>
    </sheetView>
  </sheetViews>
  <sheetFormatPr defaultColWidth="8.7265625" defaultRowHeight="14.5" x14ac:dyDescent="0.35"/>
  <cols>
    <col min="1" max="2" width="8.7265625" style="20"/>
    <col min="3" max="3" width="94.7265625" style="20" customWidth="1"/>
    <col min="4" max="4" width="21" style="20" bestFit="1" customWidth="1"/>
    <col min="5" max="5" width="28.1796875" style="20" bestFit="1" customWidth="1"/>
    <col min="6" max="9" width="8.7265625" style="20"/>
    <col min="10" max="10" width="52.453125" style="20" bestFit="1" customWidth="1"/>
    <col min="11" max="11" width="20.26953125" style="20" bestFit="1" customWidth="1"/>
    <col min="12" max="12" width="26.1796875" style="20" bestFit="1" customWidth="1"/>
    <col min="13" max="13" width="20.26953125" style="20" bestFit="1" customWidth="1"/>
    <col min="14" max="14" width="26.1796875" style="20" bestFit="1" customWidth="1"/>
    <col min="15" max="16384" width="8.7265625" style="20"/>
  </cols>
  <sheetData>
    <row r="2" spans="3:14" ht="15" thickBot="1" x14ac:dyDescent="0.4"/>
    <row r="3" spans="3:14" ht="26.5" thickBot="1" x14ac:dyDescent="0.65">
      <c r="C3" s="62" t="s">
        <v>8</v>
      </c>
      <c r="D3" s="66"/>
      <c r="E3" s="97" t="s">
        <v>52</v>
      </c>
      <c r="J3" s="176" t="s">
        <v>35</v>
      </c>
      <c r="K3" s="177"/>
      <c r="L3" s="177"/>
      <c r="M3" s="177"/>
      <c r="N3" s="178"/>
    </row>
    <row r="4" spans="3:14" ht="26" x14ac:dyDescent="0.6">
      <c r="C4" s="63" t="s">
        <v>102</v>
      </c>
      <c r="D4" s="67">
        <v>400</v>
      </c>
      <c r="E4" s="25"/>
      <c r="J4" s="169" t="s">
        <v>0</v>
      </c>
      <c r="K4" s="173" t="s">
        <v>13</v>
      </c>
      <c r="L4" s="174"/>
      <c r="M4" s="174" t="s">
        <v>17</v>
      </c>
      <c r="N4" s="175"/>
    </row>
    <row r="5" spans="3:14" ht="26" x14ac:dyDescent="0.6">
      <c r="C5" s="64" t="s">
        <v>100</v>
      </c>
      <c r="D5" s="68">
        <v>90</v>
      </c>
      <c r="E5" s="26"/>
      <c r="J5" s="169" t="s">
        <v>1</v>
      </c>
      <c r="K5" s="170" t="s">
        <v>14</v>
      </c>
      <c r="L5" s="171" t="s">
        <v>34</v>
      </c>
      <c r="M5" s="171" t="s">
        <v>14</v>
      </c>
      <c r="N5" s="172" t="s">
        <v>34</v>
      </c>
    </row>
    <row r="6" spans="3:14" ht="26" x14ac:dyDescent="0.6">
      <c r="C6" s="64" t="s">
        <v>101</v>
      </c>
      <c r="D6" s="68">
        <v>100</v>
      </c>
      <c r="E6" s="49"/>
      <c r="J6" s="169" t="s">
        <v>96</v>
      </c>
      <c r="K6" s="90">
        <f>'Beregninger DB'!C28/(D15/365)</f>
        <v>461.3879993351199</v>
      </c>
      <c r="L6" s="83">
        <f>'Beregninger DB'!D28/(D15/365)</f>
        <v>615.02012262445555</v>
      </c>
      <c r="M6" s="83">
        <f>'Beregninger DB'!E28/(D16/365)</f>
        <v>895.26010487359679</v>
      </c>
      <c r="N6" s="84">
        <f>'Beregninger DB'!F28/(D16/365)</f>
        <v>1049.3844437012406</v>
      </c>
    </row>
    <row r="7" spans="3:14" ht="26" x14ac:dyDescent="0.6">
      <c r="C7" s="64" t="s">
        <v>71</v>
      </c>
      <c r="D7" s="68" t="s">
        <v>53</v>
      </c>
      <c r="E7" s="26"/>
      <c r="J7" s="82" t="s">
        <v>97</v>
      </c>
      <c r="K7" s="93">
        <f>'Beregning nulpunkt'!$E$8</f>
        <v>1583.3333333333333</v>
      </c>
      <c r="L7" s="94">
        <f>'Beregning nulpunkt'!$E$8</f>
        <v>1583.3333333333333</v>
      </c>
      <c r="M7" s="94">
        <f>'Beregning nulpunkt'!$E$8</f>
        <v>1583.3333333333333</v>
      </c>
      <c r="N7" s="95">
        <f>'Beregning nulpunkt'!$E$8</f>
        <v>1583.3333333333333</v>
      </c>
    </row>
    <row r="8" spans="3:14" ht="26" x14ac:dyDescent="0.6">
      <c r="C8" s="64" t="s">
        <v>72</v>
      </c>
      <c r="D8" s="69">
        <v>84</v>
      </c>
      <c r="E8" s="26"/>
      <c r="J8" s="169" t="s">
        <v>98</v>
      </c>
      <c r="K8" s="91">
        <f>'Beregninger DB'!C29</f>
        <v>1.5119348890379971</v>
      </c>
      <c r="L8" s="88">
        <f>'Beregninger DB'!D29</f>
        <v>2.015376174058114</v>
      </c>
      <c r="M8" s="88">
        <f>'Beregninger DB'!E29</f>
        <v>2.8830774826498908</v>
      </c>
      <c r="N8" s="89">
        <f>'Beregninger DB'!F29</f>
        <v>3.379416377216204</v>
      </c>
    </row>
    <row r="9" spans="3:14" ht="26.5" thickBot="1" x14ac:dyDescent="0.65">
      <c r="C9" s="64" t="s">
        <v>67</v>
      </c>
      <c r="D9" s="69">
        <v>90</v>
      </c>
      <c r="E9" s="49"/>
      <c r="J9" s="85" t="s">
        <v>99</v>
      </c>
      <c r="K9" s="92">
        <f>'Beregning nulpunkt'!$E$9</f>
        <v>4.3378995433789953</v>
      </c>
      <c r="L9" s="86">
        <f>'Beregning nulpunkt'!$E$9</f>
        <v>4.3378995433789953</v>
      </c>
      <c r="M9" s="86">
        <f>'Beregning nulpunkt'!$E$9</f>
        <v>4.3378995433789953</v>
      </c>
      <c r="N9" s="87">
        <f>'Beregning nulpunkt'!$E$9</f>
        <v>4.3378995433789953</v>
      </c>
    </row>
    <row r="10" spans="3:14" ht="21" x14ac:dyDescent="0.5">
      <c r="C10" s="64" t="s">
        <v>73</v>
      </c>
      <c r="D10" s="69">
        <v>100</v>
      </c>
      <c r="E10" s="49"/>
    </row>
    <row r="11" spans="3:14" ht="21" x14ac:dyDescent="0.5">
      <c r="C11" s="64" t="s">
        <v>103</v>
      </c>
      <c r="D11" s="75">
        <v>30</v>
      </c>
      <c r="E11" s="49"/>
    </row>
    <row r="12" spans="3:14" ht="21" x14ac:dyDescent="0.5">
      <c r="C12" s="64" t="s">
        <v>104</v>
      </c>
      <c r="D12" s="70">
        <v>15</v>
      </c>
      <c r="E12" s="26"/>
    </row>
    <row r="13" spans="3:14" ht="21" x14ac:dyDescent="0.5">
      <c r="C13" s="64" t="s">
        <v>105</v>
      </c>
      <c r="D13" s="70">
        <v>150</v>
      </c>
      <c r="E13" s="26"/>
    </row>
    <row r="14" spans="3:14" ht="21.5" thickBot="1" x14ac:dyDescent="0.55000000000000004">
      <c r="C14" s="65" t="s">
        <v>106</v>
      </c>
      <c r="D14" s="71">
        <v>100</v>
      </c>
      <c r="E14" s="27"/>
    </row>
    <row r="15" spans="3:14" ht="21" x14ac:dyDescent="0.5">
      <c r="C15" s="25" t="s">
        <v>74</v>
      </c>
      <c r="D15" s="72">
        <v>610</v>
      </c>
      <c r="E15" s="25"/>
    </row>
    <row r="16" spans="3:14" ht="21" x14ac:dyDescent="0.5">
      <c r="C16" s="26" t="s">
        <v>75</v>
      </c>
      <c r="D16" s="69">
        <v>670</v>
      </c>
      <c r="E16" s="26"/>
    </row>
    <row r="17" spans="3:5" ht="21" x14ac:dyDescent="0.5">
      <c r="C17" s="26" t="s">
        <v>76</v>
      </c>
      <c r="D17" s="69">
        <v>250</v>
      </c>
      <c r="E17" s="26"/>
    </row>
    <row r="18" spans="3:5" ht="21" x14ac:dyDescent="0.5">
      <c r="C18" s="26" t="s">
        <v>77</v>
      </c>
      <c r="D18" s="69">
        <v>280</v>
      </c>
      <c r="E18" s="26"/>
    </row>
    <row r="19" spans="3:5" ht="21" x14ac:dyDescent="0.5">
      <c r="C19" s="26" t="s">
        <v>78</v>
      </c>
      <c r="D19" s="69">
        <v>5.5</v>
      </c>
      <c r="E19" s="26"/>
    </row>
    <row r="20" spans="3:5" ht="21" x14ac:dyDescent="0.5">
      <c r="C20" s="26" t="s">
        <v>79</v>
      </c>
      <c r="D20" s="74">
        <v>6</v>
      </c>
      <c r="E20" s="26"/>
    </row>
    <row r="21" spans="3:5" ht="21" x14ac:dyDescent="0.5">
      <c r="C21" s="26" t="s">
        <v>80</v>
      </c>
      <c r="D21" s="73">
        <v>0.52500000000000002</v>
      </c>
      <c r="E21" s="26"/>
    </row>
    <row r="22" spans="3:5" ht="21" x14ac:dyDescent="0.5">
      <c r="C22" s="26" t="s">
        <v>81</v>
      </c>
      <c r="D22" s="73">
        <v>0.53</v>
      </c>
      <c r="E22" s="26"/>
    </row>
    <row r="23" spans="3:5" ht="21" x14ac:dyDescent="0.5">
      <c r="C23" s="26" t="s">
        <v>107</v>
      </c>
      <c r="D23" s="74">
        <v>3</v>
      </c>
      <c r="E23" s="26"/>
    </row>
    <row r="24" spans="3:5" ht="21" x14ac:dyDescent="0.5">
      <c r="C24" s="26" t="s">
        <v>108</v>
      </c>
      <c r="D24" s="74">
        <v>6.5</v>
      </c>
      <c r="E24" s="26"/>
    </row>
    <row r="25" spans="3:5" ht="21" x14ac:dyDescent="0.5">
      <c r="C25" s="26" t="s">
        <v>109</v>
      </c>
      <c r="D25" s="77">
        <v>20.5</v>
      </c>
      <c r="E25" s="26"/>
    </row>
    <row r="26" spans="3:5" ht="21" x14ac:dyDescent="0.5">
      <c r="C26" s="26" t="s">
        <v>110</v>
      </c>
      <c r="D26" s="77">
        <v>21</v>
      </c>
      <c r="E26" s="26"/>
    </row>
    <row r="27" spans="3:5" ht="21" x14ac:dyDescent="0.5">
      <c r="C27" s="26" t="s">
        <v>111</v>
      </c>
      <c r="D27" s="75">
        <v>64</v>
      </c>
      <c r="E27" s="26"/>
    </row>
    <row r="28" spans="3:5" ht="21" x14ac:dyDescent="0.5">
      <c r="C28" s="26" t="s">
        <v>82</v>
      </c>
      <c r="D28" s="73">
        <v>2.5000000000000001E-2</v>
      </c>
      <c r="E28" s="26"/>
    </row>
    <row r="29" spans="3:5" ht="21.5" thickBot="1" x14ac:dyDescent="0.55000000000000004">
      <c r="C29" s="27" t="s">
        <v>83</v>
      </c>
      <c r="D29" s="76">
        <v>100</v>
      </c>
      <c r="E29" s="27"/>
    </row>
    <row r="30" spans="3:5" ht="21" x14ac:dyDescent="0.5">
      <c r="C30" s="25" t="s">
        <v>95</v>
      </c>
      <c r="D30" s="51">
        <v>6</v>
      </c>
      <c r="E30" s="25"/>
    </row>
    <row r="31" spans="3:5" ht="21" x14ac:dyDescent="0.5">
      <c r="C31" s="26" t="s">
        <v>44</v>
      </c>
      <c r="D31" s="53">
        <v>0.5</v>
      </c>
      <c r="E31" s="26"/>
    </row>
    <row r="32" spans="3:5" ht="21" x14ac:dyDescent="0.5">
      <c r="C32" s="26" t="s">
        <v>45</v>
      </c>
      <c r="D32" s="53">
        <v>1.3</v>
      </c>
      <c r="E32" s="26"/>
    </row>
    <row r="33" spans="3:5" ht="21" x14ac:dyDescent="0.5">
      <c r="C33" s="26" t="s">
        <v>46</v>
      </c>
      <c r="D33" s="53">
        <v>1.3</v>
      </c>
      <c r="E33" s="26"/>
    </row>
    <row r="34" spans="3:5" ht="21" x14ac:dyDescent="0.5">
      <c r="C34" s="26" t="s">
        <v>94</v>
      </c>
      <c r="D34" s="54">
        <v>150</v>
      </c>
      <c r="E34" s="26"/>
    </row>
    <row r="35" spans="3:5" ht="21" x14ac:dyDescent="0.5">
      <c r="C35" s="26" t="s">
        <v>37</v>
      </c>
      <c r="D35" s="56">
        <v>2</v>
      </c>
      <c r="E35" s="26"/>
    </row>
    <row r="36" spans="3:5" ht="21.5" thickBot="1" x14ac:dyDescent="0.55000000000000004">
      <c r="C36" s="27" t="s">
        <v>38</v>
      </c>
      <c r="D36" s="57">
        <v>1.9</v>
      </c>
      <c r="E36" s="27"/>
    </row>
    <row r="37" spans="3:5" ht="21" x14ac:dyDescent="0.5">
      <c r="C37" s="25" t="s">
        <v>58</v>
      </c>
      <c r="D37" s="51">
        <v>5</v>
      </c>
      <c r="E37" s="25"/>
    </row>
    <row r="38" spans="3:5" ht="21" x14ac:dyDescent="0.5">
      <c r="C38" s="26" t="s">
        <v>57</v>
      </c>
      <c r="D38" s="52">
        <v>0.5</v>
      </c>
      <c r="E38" s="26"/>
    </row>
    <row r="39" spans="3:5" ht="21" x14ac:dyDescent="0.5">
      <c r="C39" s="26" t="s">
        <v>59</v>
      </c>
      <c r="D39" s="52">
        <v>4</v>
      </c>
      <c r="E39" s="26"/>
    </row>
    <row r="40" spans="3:5" ht="21" x14ac:dyDescent="0.5">
      <c r="C40" s="26" t="s">
        <v>84</v>
      </c>
      <c r="D40" s="52">
        <v>3</v>
      </c>
      <c r="E40" s="26"/>
    </row>
    <row r="41" spans="3:5" ht="21.5" thickBot="1" x14ac:dyDescent="0.55000000000000004">
      <c r="C41" s="27" t="s">
        <v>85</v>
      </c>
      <c r="D41" s="55">
        <v>1</v>
      </c>
      <c r="E41" s="27"/>
    </row>
    <row r="42" spans="3:5" ht="21" x14ac:dyDescent="0.5">
      <c r="C42" s="26" t="s">
        <v>86</v>
      </c>
      <c r="D42" s="58">
        <v>400</v>
      </c>
      <c r="E42" s="26"/>
    </row>
    <row r="43" spans="3:5" ht="21.5" thickBot="1" x14ac:dyDescent="0.55000000000000004">
      <c r="C43" s="27" t="s">
        <v>112</v>
      </c>
      <c r="D43" s="59">
        <v>400</v>
      </c>
      <c r="E43" s="27"/>
    </row>
    <row r="44" spans="3:5" ht="21" x14ac:dyDescent="0.5">
      <c r="C44" s="26" t="s">
        <v>87</v>
      </c>
      <c r="D44" s="50">
        <v>1000</v>
      </c>
      <c r="E44" s="35" t="s">
        <v>53</v>
      </c>
    </row>
    <row r="45" spans="3:5" ht="21" x14ac:dyDescent="0.5">
      <c r="C45" s="26" t="s">
        <v>88</v>
      </c>
      <c r="D45" s="50">
        <f>2650/2</f>
        <v>1325</v>
      </c>
      <c r="E45" s="35" t="s">
        <v>53</v>
      </c>
    </row>
    <row r="46" spans="3:5" ht="21" x14ac:dyDescent="0.5">
      <c r="C46" s="26" t="s">
        <v>89</v>
      </c>
      <c r="D46" s="58">
        <v>4</v>
      </c>
      <c r="E46" s="35" t="s">
        <v>53</v>
      </c>
    </row>
    <row r="47" spans="3:5" ht="21.5" thickBot="1" x14ac:dyDescent="0.55000000000000004">
      <c r="C47" s="27" t="s">
        <v>47</v>
      </c>
      <c r="D47" s="60">
        <v>1</v>
      </c>
      <c r="E47" s="36" t="s">
        <v>31</v>
      </c>
    </row>
    <row r="48" spans="3:5" ht="21" x14ac:dyDescent="0.5">
      <c r="C48" s="25" t="s">
        <v>48</v>
      </c>
      <c r="D48" s="72">
        <v>600</v>
      </c>
      <c r="E48" s="78"/>
    </row>
    <row r="49" spans="3:5" ht="21" x14ac:dyDescent="0.5">
      <c r="C49" s="26" t="s">
        <v>60</v>
      </c>
      <c r="D49" s="75">
        <v>350000</v>
      </c>
      <c r="E49" s="79"/>
    </row>
    <row r="50" spans="3:5" ht="21" x14ac:dyDescent="0.5">
      <c r="C50" s="26" t="s">
        <v>61</v>
      </c>
      <c r="D50" s="75">
        <v>500000</v>
      </c>
      <c r="E50" s="79"/>
    </row>
    <row r="51" spans="3:5" ht="21.5" thickBot="1" x14ac:dyDescent="0.55000000000000004">
      <c r="C51" s="27" t="s">
        <v>62</v>
      </c>
      <c r="D51" s="81">
        <v>100000</v>
      </c>
      <c r="E51" s="80"/>
    </row>
  </sheetData>
  <mergeCells count="3">
    <mergeCell ref="K4:L4"/>
    <mergeCell ref="M4:N4"/>
    <mergeCell ref="J3:N3"/>
  </mergeCells>
  <dataValidations count="1">
    <dataValidation type="list" allowBlank="1" showInputMessage="1" showErrorMessage="1" sqref="E44:E47 D7" xr:uid="{A7EB979C-9012-447C-9348-539BECEA3278}">
      <formula1>"Ja,Nej"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A011207C-B7D1-45C9-83A8-B7387E673DC3}">
            <x14:iconSet iconSet="3TrafficLights2">
              <x14:cfvo type="percent">
                <xm:f>0</xm:f>
              </x14:cfvo>
              <x14:cfvo type="num">
                <xm:f>'Beregning nulpunkt'!$G$9</xm:f>
              </x14:cfvo>
              <x14:cfvo type="num">
                <xm:f>'Beregning nulpunkt'!$F$9</xm:f>
              </x14:cfvo>
            </x14:iconSet>
          </x14:cfRule>
          <xm:sqref>K8</xm:sqref>
        </x14:conditionalFormatting>
        <x14:conditionalFormatting xmlns:xm="http://schemas.microsoft.com/office/excel/2006/main">
          <x14:cfRule type="iconSet" priority="3" id="{4728D3A2-1FCD-4D55-95F8-A3A585FD5DD7}">
            <x14:iconSet iconSet="3TrafficLights2">
              <x14:cfvo type="percent">
                <xm:f>0</xm:f>
              </x14:cfvo>
              <x14:cfvo type="num">
                <xm:f>'Beregning nulpunkt'!$G$9</xm:f>
              </x14:cfvo>
              <x14:cfvo type="num">
                <xm:f>'Beregning nulpunkt'!$F$9</xm:f>
              </x14:cfvo>
            </x14:iconSet>
          </x14:cfRule>
          <xm:sqref>L8</xm:sqref>
        </x14:conditionalFormatting>
        <x14:conditionalFormatting xmlns:xm="http://schemas.microsoft.com/office/excel/2006/main">
          <x14:cfRule type="iconSet" priority="2" id="{5E4E982B-A1C0-46CC-8A27-0CD91A1EBA13}">
            <x14:iconSet iconSet="3TrafficLights2">
              <x14:cfvo type="percent">
                <xm:f>0</xm:f>
              </x14:cfvo>
              <x14:cfvo type="num">
                <xm:f>'Beregning nulpunkt'!$G$9</xm:f>
              </x14:cfvo>
              <x14:cfvo type="num">
                <xm:f>'Beregning nulpunkt'!$F$9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" id="{C0BF12C2-321D-47B9-BC81-23E02C3DDECE}">
            <x14:iconSet iconSet="3TrafficLights2">
              <x14:cfvo type="percent">
                <xm:f>0</xm:f>
              </x14:cfvo>
              <x14:cfvo type="num">
                <xm:f>'Beregning nulpunkt'!$G$9</xm:f>
              </x14:cfvo>
              <x14:cfvo type="num">
                <xm:f>'Beregning nulpunkt'!$F$9</xm:f>
              </x14:cfvo>
            </x14:iconSet>
          </x14:cfRule>
          <xm:sqref>N8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DCD14-0ACA-4D5C-8FB2-4D663702192A}">
  <dimension ref="D3:I9"/>
  <sheetViews>
    <sheetView zoomScale="150" zoomScaleNormal="150" workbookViewId="0">
      <selection activeCell="D8" sqref="D8"/>
    </sheetView>
  </sheetViews>
  <sheetFormatPr defaultColWidth="8.7265625" defaultRowHeight="14.5" x14ac:dyDescent="0.35"/>
  <cols>
    <col min="1" max="3" width="8.7265625" style="20"/>
    <col min="4" max="4" width="23.7265625" style="20" bestFit="1" customWidth="1"/>
    <col min="5" max="5" width="13.81640625" style="20" bestFit="1" customWidth="1"/>
    <col min="6" max="16384" width="8.7265625" style="20"/>
  </cols>
  <sheetData>
    <row r="3" spans="4:9" ht="15" thickBot="1" x14ac:dyDescent="0.4"/>
    <row r="4" spans="4:9" x14ac:dyDescent="0.35">
      <c r="D4" s="32" t="s">
        <v>48</v>
      </c>
      <c r="E4" s="37">
        <f>Resultat!D48</f>
        <v>600</v>
      </c>
    </row>
    <row r="5" spans="4:9" x14ac:dyDescent="0.35">
      <c r="D5" s="33" t="s">
        <v>51</v>
      </c>
      <c r="E5" s="160">
        <f>Resultat!D49</f>
        <v>350000</v>
      </c>
    </row>
    <row r="6" spans="4:9" x14ac:dyDescent="0.35">
      <c r="D6" s="33" t="s">
        <v>49</v>
      </c>
      <c r="E6" s="160">
        <f>Resultat!D50</f>
        <v>500000</v>
      </c>
    </row>
    <row r="7" spans="4:9" ht="15" thickBot="1" x14ac:dyDescent="0.4">
      <c r="D7" s="33" t="s">
        <v>50</v>
      </c>
      <c r="E7" s="161">
        <f>Resultat!D51</f>
        <v>100000</v>
      </c>
    </row>
    <row r="8" spans="4:9" x14ac:dyDescent="0.35">
      <c r="D8" s="30" t="s">
        <v>114</v>
      </c>
      <c r="E8" s="96">
        <f>SUM(E5:E7)/E4</f>
        <v>1583.3333333333333</v>
      </c>
    </row>
    <row r="9" spans="4:9" ht="15" thickBot="1" x14ac:dyDescent="0.4">
      <c r="D9" s="31" t="s">
        <v>113</v>
      </c>
      <c r="E9" s="29">
        <f>E8/365</f>
        <v>4.3378995433789953</v>
      </c>
      <c r="F9" s="34">
        <f>((SUM(E6:E7)+E5+E5)/E4)/365</f>
        <v>5.93607305936073</v>
      </c>
      <c r="G9" s="34">
        <f>(SUM(E6:E7)/E4)/365</f>
        <v>2.7397260273972601</v>
      </c>
      <c r="H9" s="28"/>
      <c r="I9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9"/>
  <sheetViews>
    <sheetView zoomScale="90" zoomScaleNormal="90" workbookViewId="0">
      <selection activeCell="J15" sqref="J15"/>
    </sheetView>
  </sheetViews>
  <sheetFormatPr defaultColWidth="8.7265625" defaultRowHeight="14.5" x14ac:dyDescent="0.35"/>
  <cols>
    <col min="1" max="1" width="8.7265625" style="20"/>
    <col min="2" max="2" width="41.81640625" style="20" bestFit="1" customWidth="1"/>
    <col min="3" max="3" width="19.453125" style="20" customWidth="1"/>
    <col min="4" max="4" width="21.1796875" style="20" customWidth="1"/>
    <col min="5" max="5" width="19.1796875" style="20" customWidth="1"/>
    <col min="6" max="6" width="21.7265625" style="20" customWidth="1"/>
    <col min="7" max="7" width="8.7265625" style="20"/>
    <col min="8" max="8" width="27.54296875" style="20" bestFit="1" customWidth="1"/>
    <col min="9" max="9" width="9.54296875" style="20" bestFit="1" customWidth="1"/>
    <col min="10" max="10" width="19.26953125" style="20" bestFit="1" customWidth="1"/>
    <col min="11" max="16384" width="8.7265625" style="20"/>
  </cols>
  <sheetData>
    <row r="1" spans="2:6" ht="19" thickBot="1" x14ac:dyDescent="0.5">
      <c r="B1" s="21"/>
      <c r="C1" s="22"/>
      <c r="D1" s="22"/>
      <c r="E1" s="23"/>
    </row>
    <row r="2" spans="2:6" ht="15.5" x14ac:dyDescent="0.35">
      <c r="B2" s="98" t="s">
        <v>0</v>
      </c>
      <c r="C2" s="179" t="s">
        <v>13</v>
      </c>
      <c r="D2" s="180"/>
      <c r="E2" s="179" t="s">
        <v>17</v>
      </c>
      <c r="F2" s="181"/>
    </row>
    <row r="3" spans="2:6" ht="15.5" x14ac:dyDescent="0.35">
      <c r="B3" s="99" t="s">
        <v>1</v>
      </c>
      <c r="C3" s="100" t="s">
        <v>14</v>
      </c>
      <c r="D3" s="101" t="s">
        <v>34</v>
      </c>
      <c r="E3" s="100" t="s">
        <v>14</v>
      </c>
      <c r="F3" s="102" t="s">
        <v>34</v>
      </c>
    </row>
    <row r="4" spans="2:6" ht="16" thickBot="1" x14ac:dyDescent="0.4">
      <c r="B4" s="103" t="s">
        <v>11</v>
      </c>
      <c r="C4" s="104" t="s">
        <v>12</v>
      </c>
      <c r="D4" s="105" t="s">
        <v>12</v>
      </c>
      <c r="E4" s="104" t="s">
        <v>16</v>
      </c>
      <c r="F4" s="106" t="s">
        <v>16</v>
      </c>
    </row>
    <row r="5" spans="2:6" ht="15.5" x14ac:dyDescent="0.35">
      <c r="B5" s="99" t="s">
        <v>18</v>
      </c>
      <c r="C5" s="100">
        <f>Resultat!$D$15</f>
        <v>610</v>
      </c>
      <c r="D5" s="101">
        <f>Resultat!$D$15</f>
        <v>610</v>
      </c>
      <c r="E5" s="100">
        <f>Resultat!$D$16</f>
        <v>670</v>
      </c>
      <c r="F5" s="102">
        <f>Resultat!$D$16</f>
        <v>670</v>
      </c>
    </row>
    <row r="6" spans="2:6" ht="15.5" x14ac:dyDescent="0.35">
      <c r="B6" s="99" t="s">
        <v>63</v>
      </c>
      <c r="C6" s="107">
        <f>IF(C9&gt;70,Resultat!$D$4+(20*Resultat!$D$11)+(('Beregninger DB'!C9-70)*Resultat!$D$12),Resultat!$D$4+((C9-50)*Resultat!$D$11))</f>
        <v>1300</v>
      </c>
      <c r="D6" s="108">
        <f>IF(D9&gt;70,Resultat!$D$4+(20*Resultat!$D$11)+(('Beregninger DB'!D9-70)*Resultat!$D$12),Resultat!$D$4+((D9-50)*Resultat!$D$11))</f>
        <v>1450</v>
      </c>
      <c r="E6" s="107">
        <f>IF(E9&gt;70,Resultat!$D$4+(20*Resultat!$D$11)+(('Beregninger DB'!E9-70)*Resultat!$D$12),Resultat!$D$4+((E9-50)*Resultat!$D$11))</f>
        <v>1450</v>
      </c>
      <c r="F6" s="109">
        <f>IF(F9&gt;70,Resultat!$D$4+(20*Resultat!$D$11)+(('Beregninger DB'!F9-70)*Resultat!$D$12),Resultat!$D$4+((F9-50)*Resultat!$D$11))</f>
        <v>1600</v>
      </c>
    </row>
    <row r="7" spans="2:6" ht="16" customHeight="1" x14ac:dyDescent="0.35">
      <c r="B7" s="99" t="s">
        <v>21</v>
      </c>
      <c r="C7" s="107">
        <f>Resultat!$D$13</f>
        <v>150</v>
      </c>
      <c r="D7" s="108">
        <f>Resultat!$D$13</f>
        <v>150</v>
      </c>
      <c r="E7" s="107">
        <f>Resultat!$D$13</f>
        <v>150</v>
      </c>
      <c r="F7" s="109">
        <f>Resultat!$D$13</f>
        <v>150</v>
      </c>
    </row>
    <row r="8" spans="2:6" ht="18.649999999999999" customHeight="1" x14ac:dyDescent="0.35">
      <c r="B8" s="99" t="s">
        <v>15</v>
      </c>
      <c r="C8" s="107">
        <f>Resultat!$D$14</f>
        <v>100</v>
      </c>
      <c r="D8" s="108">
        <f>Resultat!$D$14</f>
        <v>100</v>
      </c>
      <c r="E8" s="107">
        <f>Resultat!$D$14</f>
        <v>100</v>
      </c>
      <c r="F8" s="109">
        <f>Resultat!$D$14</f>
        <v>100</v>
      </c>
    </row>
    <row r="9" spans="2:6" ht="15.5" x14ac:dyDescent="0.35">
      <c r="B9" s="99" t="s">
        <v>7</v>
      </c>
      <c r="C9" s="110">
        <f>Resultat!$D$5</f>
        <v>90</v>
      </c>
      <c r="D9" s="111">
        <f>IF(Resultat!D7="Ja",C9+5,C9+10)</f>
        <v>100</v>
      </c>
      <c r="E9" s="110">
        <f>Resultat!$D$6</f>
        <v>100</v>
      </c>
      <c r="F9" s="112">
        <f>IF(Resultat!D7="Ja",E9+5,E9+10)</f>
        <v>110</v>
      </c>
    </row>
    <row r="10" spans="2:6" ht="15.5" x14ac:dyDescent="0.35">
      <c r="B10" s="113" t="s">
        <v>68</v>
      </c>
      <c r="C10" s="114">
        <f>IF(Resultat!$D$7="Nej",'Beregninger DB'!C9,Resultat!$D$9)</f>
        <v>90</v>
      </c>
      <c r="D10" s="115">
        <f>IF(Resultat!$D$7="Nej",'Beregninger DB'!D9,Resultat!$D$9+10)</f>
        <v>100</v>
      </c>
      <c r="E10" s="114">
        <f>IF(Resultat!$D$7="Nej",'Beregninger DB'!E9,Resultat!$D$10)</f>
        <v>100</v>
      </c>
      <c r="F10" s="116">
        <f>IF(Resultat!$D$7="Nej",'Beregninger DB'!F9,Resultat!$D$10+10)</f>
        <v>110</v>
      </c>
    </row>
    <row r="11" spans="2:6" ht="15.5" x14ac:dyDescent="0.35">
      <c r="B11" s="99" t="s">
        <v>26</v>
      </c>
      <c r="C11" s="117">
        <f>((C13-C9)/C17)*1000</f>
        <v>757.23622782446296</v>
      </c>
      <c r="D11" s="118">
        <f>((D13-D9)/D17)*1000</f>
        <v>802.81169071402132</v>
      </c>
      <c r="E11" s="117">
        <f>((E13-E9)/E17)*1000</f>
        <v>751.40681893412773</v>
      </c>
      <c r="F11" s="119">
        <f>((F13-F9)/F17)*1000</f>
        <v>790.78537465158217</v>
      </c>
    </row>
    <row r="12" spans="2:6" ht="15.5" x14ac:dyDescent="0.35">
      <c r="B12" s="99" t="s">
        <v>27</v>
      </c>
      <c r="C12" s="117">
        <f>((C14-(C9*C21))/C17)*1000</f>
        <v>397.54901960784309</v>
      </c>
      <c r="D12" s="118">
        <f>((D14-(D9*D21))/D17)*1000</f>
        <v>425.49019607843138</v>
      </c>
      <c r="E12" s="117">
        <f>((E14-(E9*E21))/E17)*1000</f>
        <v>398.24561403508773</v>
      </c>
      <c r="F12" s="119">
        <f>((F14-(F9*F21))/F17)*1000</f>
        <v>423.07017543859649</v>
      </c>
    </row>
    <row r="13" spans="2:6" ht="15.5" x14ac:dyDescent="0.35">
      <c r="B13" s="99" t="s">
        <v>3</v>
      </c>
      <c r="C13" s="120">
        <f>(C14/C21)</f>
        <v>476.19047619047615</v>
      </c>
      <c r="D13" s="121">
        <f t="shared" ref="D13:F13" si="0">(D14/D21)</f>
        <v>509.43396226415092</v>
      </c>
      <c r="E13" s="120">
        <f t="shared" si="0"/>
        <v>528.30188679245282</v>
      </c>
      <c r="F13" s="122">
        <f t="shared" si="0"/>
        <v>560.74766355140184</v>
      </c>
    </row>
    <row r="14" spans="2:6" ht="15.5" x14ac:dyDescent="0.35">
      <c r="B14" s="123" t="s">
        <v>9</v>
      </c>
      <c r="C14" s="124">
        <f>Resultat!$D$17</f>
        <v>250</v>
      </c>
      <c r="D14" s="125">
        <f>C14+20</f>
        <v>270</v>
      </c>
      <c r="E14" s="124">
        <f>Resultat!$D$18</f>
        <v>280</v>
      </c>
      <c r="F14" s="126">
        <f>E14+20</f>
        <v>300</v>
      </c>
    </row>
    <row r="15" spans="2:6" ht="15.5" x14ac:dyDescent="0.35">
      <c r="B15" s="99" t="s">
        <v>66</v>
      </c>
      <c r="C15" s="127">
        <f>Resultat!$D$23</f>
        <v>3</v>
      </c>
      <c r="D15" s="128">
        <f>Resultat!$D$23</f>
        <v>3</v>
      </c>
      <c r="E15" s="127">
        <f>Resultat!$D$23</f>
        <v>3</v>
      </c>
      <c r="F15" s="129">
        <f>Resultat!$D$23</f>
        <v>3</v>
      </c>
    </row>
    <row r="16" spans="2:6" ht="15.5" x14ac:dyDescent="0.35">
      <c r="B16" s="99" t="s">
        <v>65</v>
      </c>
      <c r="C16" s="127">
        <f>Resultat!$D$24</f>
        <v>6.5</v>
      </c>
      <c r="D16" s="128">
        <f>Resultat!$D$24</f>
        <v>6.5</v>
      </c>
      <c r="E16" s="127">
        <f>Resultat!$D$24</f>
        <v>6.5</v>
      </c>
      <c r="F16" s="129">
        <f>Resultat!$D$24</f>
        <v>6.5</v>
      </c>
    </row>
    <row r="17" spans="2:6" ht="15.5" x14ac:dyDescent="0.35">
      <c r="B17" s="99" t="s">
        <v>2</v>
      </c>
      <c r="C17" s="130">
        <f>C5-C8</f>
        <v>510</v>
      </c>
      <c r="D17" s="131">
        <f>D5-D8</f>
        <v>510</v>
      </c>
      <c r="E17" s="130">
        <f>E5-E8</f>
        <v>570</v>
      </c>
      <c r="F17" s="132">
        <f>F5-F8</f>
        <v>570</v>
      </c>
    </row>
    <row r="18" spans="2:6" ht="15.5" x14ac:dyDescent="0.35">
      <c r="B18" s="99" t="s">
        <v>70</v>
      </c>
      <c r="C18" s="133">
        <f>Foderpris!$L$11</f>
        <v>6.627326373127552</v>
      </c>
      <c r="D18" s="134">
        <f>Foderpris!$L$11</f>
        <v>6.627326373127552</v>
      </c>
      <c r="E18" s="133">
        <f>Foderpris!$L$11</f>
        <v>6.627326373127552</v>
      </c>
      <c r="F18" s="135">
        <f>Foderpris!$L$11</f>
        <v>6.627326373127552</v>
      </c>
    </row>
    <row r="19" spans="2:6" ht="15.5" x14ac:dyDescent="0.35">
      <c r="B19" s="99" t="s">
        <v>69</v>
      </c>
      <c r="C19" s="136">
        <f>Foderpris!$L$12</f>
        <v>1.0225855513307986</v>
      </c>
      <c r="D19" s="137">
        <f>Foderpris!L12</f>
        <v>1.0225855513307986</v>
      </c>
      <c r="E19" s="136">
        <f>Foderpris!L13</f>
        <v>1.0509897610921504</v>
      </c>
      <c r="F19" s="138">
        <f>Foderpris!L13</f>
        <v>1.0509897610921504</v>
      </c>
    </row>
    <row r="20" spans="2:6" ht="15.5" x14ac:dyDescent="0.35">
      <c r="B20" s="123" t="s">
        <v>6</v>
      </c>
      <c r="C20" s="139">
        <f>IF(Resultat!$D$7="Ja",(('Beregninger DB'!C10-'Beregninger DB'!C9)*'Beregninger DB'!C18*'Beregninger DB'!C15)+((C13-C10)*C19*C16)+Foderpris!$O$10,((C13-C10)*C19*C16)+Foderpris!$O$10)</f>
        <v>2716.933206590621</v>
      </c>
      <c r="D20" s="140">
        <f>IF(Resultat!$D$7="Ja",(('Beregninger DB'!D10-'Beregninger DB'!D9)*'Beregninger DB'!D18*'Beregninger DB'!D15)+((D13-D10)*D19*D16)+Foderpris!$O$10,((D13-D10)*D19*D16)+Foderpris!$O$10)</f>
        <v>2871.4281512303614</v>
      </c>
      <c r="E20" s="139">
        <f>IF(Resultat!$D$7="Ja",(('Beregninger DB'!E10-'Beregninger DB'!E9)*'Beregninger DB'!E18*'Beregninger DB'!E15)+((E13-E10)*E19*E16)+Foderpris!$O$10,((E13-E10)*E19*E16)+Foderpris!$O$10)</f>
        <v>3075.9158348895617</v>
      </c>
      <c r="F20" s="141">
        <f>IF(Resultat!$D$7="Ja",(('Beregninger DB'!F10-'Beregninger DB'!F9)*'Beregninger DB'!F18*'Beregninger DB'!F15)+((F13-F10)*F19*F16)+Foderpris!$O$10,((F13-F10)*F19*F16)+Foderpris!$O$10)</f>
        <v>3229.2526649867632</v>
      </c>
    </row>
    <row r="21" spans="2:6" ht="15.5" x14ac:dyDescent="0.35">
      <c r="B21" s="99" t="s">
        <v>4</v>
      </c>
      <c r="C21" s="142">
        <f>Resultat!$D$21</f>
        <v>0.52500000000000002</v>
      </c>
      <c r="D21" s="143">
        <f>C21+0.005</f>
        <v>0.53</v>
      </c>
      <c r="E21" s="142">
        <f>Resultat!$D$22</f>
        <v>0.53</v>
      </c>
      <c r="F21" s="144">
        <f>E21+0.005</f>
        <v>0.53500000000000003</v>
      </c>
    </row>
    <row r="22" spans="2:6" ht="15.5" x14ac:dyDescent="0.35">
      <c r="B22" s="99" t="s">
        <v>36</v>
      </c>
      <c r="C22" s="110">
        <f>Resultat!$D$43</f>
        <v>400</v>
      </c>
      <c r="D22" s="111">
        <f>Resultat!$D$43</f>
        <v>400</v>
      </c>
      <c r="E22" s="110">
        <f>Resultat!$D$43+Resultat!$D$42</f>
        <v>800</v>
      </c>
      <c r="F22" s="112">
        <f>Resultat!$D$43+Resultat!$D$42</f>
        <v>800</v>
      </c>
    </row>
    <row r="23" spans="2:6" ht="15.5" x14ac:dyDescent="0.35">
      <c r="B23" s="99" t="s">
        <v>54</v>
      </c>
      <c r="C23" s="120">
        <f>(C6*Resultat!$D$28)+Resultat!$D$27*Resultat!$D$28</f>
        <v>34.1</v>
      </c>
      <c r="D23" s="121">
        <f>(D6*Resultat!$D$28)+Resultat!$D$27*Resultat!$D$28</f>
        <v>37.85</v>
      </c>
      <c r="E23" s="120">
        <f>(E6*Resultat!$D$28)+Resultat!$D$27*Resultat!$D$28</f>
        <v>37.85</v>
      </c>
      <c r="F23" s="122">
        <f>(F6*Resultat!$D$28)+Resultat!$D$27*Resultat!$D$28</f>
        <v>41.6</v>
      </c>
    </row>
    <row r="24" spans="2:6" ht="15.5" x14ac:dyDescent="0.35">
      <c r="B24" s="99" t="s">
        <v>55</v>
      </c>
      <c r="C24" s="120">
        <f>((IF(C8&lt;Resultat!$D$8,Resultat!$D$8-C8,0)*(Foderpris!$K$4*Foderpris!$N$4+Foderpris!$K$5*Foderpris!$N$5))+(IF(C8&gt;Resultat!$D$8,C8-Resultat!$D$8,0)*(Foderpris!$K$7*Foderpris!$N$7+Foderpris!$K$8*Foderpris!$N$8+Foderpris!$K$9*Foderpris!$N$9)))*Resultat!$D$28</f>
        <v>2.8800000000000003</v>
      </c>
      <c r="D24" s="121">
        <f>((IF(D8&lt;Resultat!$D$8,Resultat!$D$8-D8,0)*(Foderpris!$K$4*Foderpris!$N$4+Foderpris!$K$5*Foderpris!$N$5))+(IF(D8&gt;Resultat!$D$8,D8-Resultat!$D$8,0)*(Foderpris!$K$7*Foderpris!$N$7+Foderpris!$K$8*Foderpris!$N$8+Foderpris!$K$9*Foderpris!$N$9)))*Resultat!$D$28</f>
        <v>2.8800000000000003</v>
      </c>
      <c r="E24" s="120">
        <f>((IF(E8&lt;Resultat!$D$8,Resultat!$D$8-E8,0)*(Foderpris!$K$4*Foderpris!$N$4+Foderpris!$K$5*Foderpris!$N$5))+(IF(E8&gt;Resultat!$D$8,E8-Resultat!$D$8,0)*(Foderpris!$K$7*Foderpris!$N$7+Foderpris!$K$8*Foderpris!$N$8+Foderpris!$K$9*Foderpris!$N$9)))*Resultat!$D$28</f>
        <v>2.8800000000000003</v>
      </c>
      <c r="F24" s="122">
        <f>((IF(F8&lt;Resultat!$D$8,Resultat!$D$8-F8,0)*(Foderpris!$K$4*Foderpris!$N$4+Foderpris!$K$5*Foderpris!$N$5))+(IF(F8&gt;Resultat!$D$8,F8-Resultat!$D$8,0)*(Foderpris!$K$7*Foderpris!$N$7+Foderpris!$K$8*Foderpris!$N$8+Foderpris!$K$9*Foderpris!$N$9)))*Resultat!$D$28</f>
        <v>2.8800000000000003</v>
      </c>
    </row>
    <row r="25" spans="2:6" ht="15.5" x14ac:dyDescent="0.35">
      <c r="B25" s="99" t="s">
        <v>5</v>
      </c>
      <c r="C25" s="145">
        <f>Resultat!$D$19</f>
        <v>5.5</v>
      </c>
      <c r="D25" s="146">
        <f>C25+0.5</f>
        <v>6</v>
      </c>
      <c r="E25" s="145">
        <f>Resultat!$D$20</f>
        <v>6</v>
      </c>
      <c r="F25" s="147">
        <f>E25+0.5</f>
        <v>6.5</v>
      </c>
    </row>
    <row r="26" spans="2:6" ht="15.5" x14ac:dyDescent="0.35">
      <c r="B26" s="99" t="s">
        <v>19</v>
      </c>
      <c r="C26" s="148">
        <f>Resultat!$D$25</f>
        <v>20.5</v>
      </c>
      <c r="D26" s="149">
        <f>C26+0.5</f>
        <v>21</v>
      </c>
      <c r="E26" s="148">
        <f>Resultat!D26</f>
        <v>21</v>
      </c>
      <c r="F26" s="150">
        <f>E26+0.5</f>
        <v>21.5</v>
      </c>
    </row>
    <row r="27" spans="2:6" ht="15.5" x14ac:dyDescent="0.35">
      <c r="B27" s="123" t="s">
        <v>30</v>
      </c>
      <c r="C27" s="151">
        <f>IF(Resultat!$E$47="Ja",(C26+Resultat!$D$47)*C14,C26*C14)</f>
        <v>5375</v>
      </c>
      <c r="D27" s="152">
        <f>IF(Resultat!$E$47="Ja",(D26+Resultat!$D$47)*D14,D26*D14)</f>
        <v>5940</v>
      </c>
      <c r="E27" s="151">
        <f>IF(Resultat!$E$47="Ja",(E26+Resultat!$D$47)*E14,E26*E14)</f>
        <v>6160</v>
      </c>
      <c r="F27" s="153">
        <f>IF(Resultat!$E$47="Ja",(F26+Resultat!$D$47)*F14,F26*F14)</f>
        <v>6750</v>
      </c>
    </row>
    <row r="28" spans="2:6" ht="15.5" x14ac:dyDescent="0.35">
      <c r="B28" s="99" t="s">
        <v>32</v>
      </c>
      <c r="C28" s="154">
        <f>(C27-(C22+C20+C7+C6+C23+C24))+IF(Resultat!$E$44="Ja",Resultat!$D$44,0)+IF(Resultat!$E$46="Ja",Resultat!$D$46*C14,0)+IF(Resultat!$E$45="Ja",Resultat!$D$45,0)</f>
        <v>771.08679340937852</v>
      </c>
      <c r="D28" s="155">
        <f>(D27-(D22+D20+D7+D6+D23+D24))+IF(Resultat!$E$44="Ja",Resultat!$D$44,0)+IF(Resultat!$E$46="Ja",Resultat!$D$46*D14,0)+IF(Resultat!$E$45="Ja",Resultat!$D$45,0)</f>
        <v>1027.8418487696381</v>
      </c>
      <c r="E28" s="154">
        <f>(E27-(E22+E20+E7+E6+E23+E24))+Resultat!$D$44+IF(Resultat!$E$46="Ja",Resultat!$D$46*E14,0)+IF(Resultat!$E$45="Ja",Resultat!$D$45,0)</f>
        <v>1643.3541651104379</v>
      </c>
      <c r="F28" s="156">
        <f>(F27-(F22+F20+F7+F6+F23+F24))+Resultat!$D$44+IF(Resultat!$E$46="Ja",Resultat!$D$46*F14,0)+IF(Resultat!$E$45="Ja",Resultat!$D$45,0)</f>
        <v>1926.2673350132363</v>
      </c>
    </row>
    <row r="29" spans="2:6" ht="16" thickBot="1" x14ac:dyDescent="0.4">
      <c r="B29" s="103" t="s">
        <v>33</v>
      </c>
      <c r="C29" s="157">
        <f>C28/C17</f>
        <v>1.5119348890379971</v>
      </c>
      <c r="D29" s="158">
        <f t="shared" ref="D29:E29" si="1">D28/D17</f>
        <v>2.015376174058114</v>
      </c>
      <c r="E29" s="157">
        <f t="shared" si="1"/>
        <v>2.8830774826498908</v>
      </c>
      <c r="F29" s="159">
        <f t="shared" ref="F29" si="2">F28/F17</f>
        <v>3.379416377216204</v>
      </c>
    </row>
    <row r="30" spans="2:6" x14ac:dyDescent="0.35">
      <c r="F30" s="1"/>
    </row>
    <row r="31" spans="2:6" x14ac:dyDescent="0.35">
      <c r="D31" s="39"/>
      <c r="F31" s="1"/>
    </row>
    <row r="32" spans="2:6" x14ac:dyDescent="0.35">
      <c r="D32" s="40"/>
      <c r="E32" s="40"/>
      <c r="F32" s="1"/>
    </row>
    <row r="39" spans="3:3" x14ac:dyDescent="0.35">
      <c r="C39" s="24"/>
    </row>
  </sheetData>
  <mergeCells count="2">
    <mergeCell ref="C2:D2"/>
    <mergeCell ref="E2:F2"/>
  </mergeCells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2:P18"/>
  <sheetViews>
    <sheetView topLeftCell="F1" zoomScale="140" zoomScaleNormal="140" workbookViewId="0">
      <selection activeCell="J18" sqref="J18"/>
    </sheetView>
  </sheetViews>
  <sheetFormatPr defaultColWidth="8.7265625" defaultRowHeight="14.5" x14ac:dyDescent="0.35"/>
  <cols>
    <col min="1" max="8" width="8.7265625" style="20"/>
    <col min="9" max="9" width="29.54296875" style="20" bestFit="1" customWidth="1"/>
    <col min="10" max="10" width="48.81640625" style="20" bestFit="1" customWidth="1"/>
    <col min="11" max="11" width="19.1796875" style="20" customWidth="1"/>
    <col min="12" max="14" width="10.26953125" style="20" bestFit="1" customWidth="1"/>
    <col min="15" max="15" width="11.7265625" style="20" bestFit="1" customWidth="1"/>
    <col min="16" max="16" width="9.26953125" style="20" bestFit="1" customWidth="1"/>
    <col min="17" max="18" width="8.7265625" style="20"/>
    <col min="19" max="19" width="21.54296875" style="20" bestFit="1" customWidth="1"/>
    <col min="20" max="16384" width="8.7265625" style="20"/>
  </cols>
  <sheetData>
    <row r="2" spans="9:16" ht="15" thickBot="1" x14ac:dyDescent="0.4"/>
    <row r="3" spans="9:16" x14ac:dyDescent="0.35">
      <c r="I3" s="17"/>
      <c r="J3" s="18"/>
      <c r="K3" s="18" t="s">
        <v>56</v>
      </c>
      <c r="L3" s="18" t="s">
        <v>10</v>
      </c>
      <c r="M3" s="18" t="s">
        <v>20</v>
      </c>
      <c r="N3" s="18" t="s">
        <v>28</v>
      </c>
      <c r="O3" s="19" t="s">
        <v>24</v>
      </c>
    </row>
    <row r="4" spans="9:16" x14ac:dyDescent="0.35">
      <c r="I4" s="182" t="s">
        <v>22</v>
      </c>
      <c r="J4" s="42" t="s">
        <v>39</v>
      </c>
      <c r="K4" s="1">
        <f>Resultat!D37</f>
        <v>5</v>
      </c>
      <c r="L4" s="1">
        <f>(Resultat!$D$8-Resultat!$D$14)*K4</f>
        <v>-80</v>
      </c>
      <c r="M4" s="6">
        <f>L4*0.155*1.6</f>
        <v>-19.840000000000003</v>
      </c>
      <c r="N4" s="2">
        <f>Resultat!$D$35</f>
        <v>2</v>
      </c>
      <c r="O4" s="3">
        <f>N4*L4</f>
        <v>-160</v>
      </c>
      <c r="P4" s="61"/>
    </row>
    <row r="5" spans="9:16" x14ac:dyDescent="0.35">
      <c r="I5" s="183"/>
      <c r="J5" s="43" t="s">
        <v>40</v>
      </c>
      <c r="K5" s="10">
        <f>Resultat!D38</f>
        <v>0.5</v>
      </c>
      <c r="L5" s="10">
        <f>(Resultat!$D$8-Resultat!$D$14)*K5</f>
        <v>-8</v>
      </c>
      <c r="M5" s="16">
        <f>L5*0.85*0.97</f>
        <v>-6.5960000000000001</v>
      </c>
      <c r="N5" s="11">
        <f>Resultat!$D$36</f>
        <v>1.9</v>
      </c>
      <c r="O5" s="12">
        <f>N5*L5</f>
        <v>-15.2</v>
      </c>
      <c r="P5" s="38"/>
    </row>
    <row r="6" spans="9:16" x14ac:dyDescent="0.35">
      <c r="I6" s="162"/>
      <c r="J6" s="10"/>
      <c r="K6" s="10"/>
      <c r="L6" s="10"/>
      <c r="M6" s="10"/>
      <c r="N6" s="11" t="s">
        <v>29</v>
      </c>
      <c r="O6" s="12"/>
    </row>
    <row r="7" spans="9:16" x14ac:dyDescent="0.35">
      <c r="I7" s="184" t="s">
        <v>25</v>
      </c>
      <c r="J7" s="44" t="s">
        <v>41</v>
      </c>
      <c r="K7" s="13">
        <f>Resultat!D39</f>
        <v>4</v>
      </c>
      <c r="L7" s="164"/>
      <c r="M7" s="13">
        <f>K7*(Resultat!$D$30*30.4)</f>
        <v>729.59999999999991</v>
      </c>
      <c r="N7" s="41">
        <f>Resultat!$D$31</f>
        <v>0.5</v>
      </c>
      <c r="O7" s="14">
        <f t="shared" ref="O7:O10" si="0">N7*M7</f>
        <v>364.79999999999995</v>
      </c>
    </row>
    <row r="8" spans="9:16" x14ac:dyDescent="0.35">
      <c r="I8" s="182"/>
      <c r="J8" s="42" t="s">
        <v>42</v>
      </c>
      <c r="K8" s="1">
        <f>Resultat!D40</f>
        <v>3</v>
      </c>
      <c r="L8" s="165">
        <f>K8/(K8+K9)</f>
        <v>0.75</v>
      </c>
      <c r="M8" s="1">
        <f>K8*((12-Resultat!$D$30)*30.4)</f>
        <v>547.19999999999993</v>
      </c>
      <c r="N8" s="2">
        <f>Resultat!$D$32</f>
        <v>1.3</v>
      </c>
      <c r="O8" s="3">
        <f t="shared" si="0"/>
        <v>711.3599999999999</v>
      </c>
    </row>
    <row r="9" spans="9:16" x14ac:dyDescent="0.35">
      <c r="I9" s="182"/>
      <c r="J9" s="42" t="s">
        <v>43</v>
      </c>
      <c r="K9" s="1">
        <f>Resultat!D41</f>
        <v>1</v>
      </c>
      <c r="L9" s="165">
        <f>K9/(K9+K8)</f>
        <v>0.25</v>
      </c>
      <c r="M9" s="1">
        <f>K9*((12-Resultat!$D$30)*30.4)</f>
        <v>182.39999999999998</v>
      </c>
      <c r="N9" s="2">
        <f>Resultat!$D$33</f>
        <v>1.3</v>
      </c>
      <c r="O9" s="3">
        <f t="shared" si="0"/>
        <v>237.11999999999998</v>
      </c>
    </row>
    <row r="10" spans="9:16" x14ac:dyDescent="0.35">
      <c r="I10" s="183"/>
      <c r="J10" s="43" t="s">
        <v>23</v>
      </c>
      <c r="K10" s="10"/>
      <c r="L10" s="10"/>
      <c r="M10" s="10">
        <v>1</v>
      </c>
      <c r="N10" s="15">
        <f>Resultat!$D$34</f>
        <v>150</v>
      </c>
      <c r="O10" s="12">
        <f t="shared" si="0"/>
        <v>150</v>
      </c>
    </row>
    <row r="11" spans="9:16" x14ac:dyDescent="0.35">
      <c r="I11" s="4"/>
      <c r="J11" s="42" t="s">
        <v>64</v>
      </c>
      <c r="K11" s="48"/>
      <c r="L11" s="45">
        <f>SUM(O4:O5)/SUM(M4:M5)</f>
        <v>6.627326373127552</v>
      </c>
      <c r="M11" s="1"/>
      <c r="N11" s="1"/>
      <c r="O11" s="5"/>
    </row>
    <row r="12" spans="9:16" x14ac:dyDescent="0.35">
      <c r="I12" s="4"/>
      <c r="J12" s="42" t="s">
        <v>92</v>
      </c>
      <c r="K12" s="1"/>
      <c r="L12" s="45">
        <f>(K15*N7)+(((N8*L8)+(N9*L9))*(1-K15))</f>
        <v>1.0225855513307986</v>
      </c>
      <c r="M12" s="1"/>
      <c r="N12" s="1"/>
      <c r="O12" s="5"/>
    </row>
    <row r="13" spans="9:16" ht="15" thickBot="1" x14ac:dyDescent="0.4">
      <c r="I13" s="7"/>
      <c r="J13" s="47" t="s">
        <v>93</v>
      </c>
      <c r="K13" s="8"/>
      <c r="L13" s="46">
        <f>(K16*N7)+(((N8*L8)+(N9*L9))*(1-K16))</f>
        <v>1.0509897610921504</v>
      </c>
      <c r="M13" s="8"/>
      <c r="N13" s="8"/>
      <c r="O13" s="9"/>
    </row>
    <row r="15" spans="9:16" x14ac:dyDescent="0.35">
      <c r="J15" s="166" t="s">
        <v>90</v>
      </c>
      <c r="K15" s="167">
        <f>Resultat!$D$30/((Resultat!D15-Resultat!$D$8)/30.4)</f>
        <v>0.34676806083650186</v>
      </c>
    </row>
    <row r="16" spans="9:16" x14ac:dyDescent="0.35">
      <c r="J16" s="166" t="s">
        <v>91</v>
      </c>
      <c r="K16" s="168">
        <f>Resultat!$D$30/((Resultat!D16-Resultat!$D$8)/30.4)</f>
        <v>0.31126279863481227</v>
      </c>
      <c r="L16" s="24"/>
      <c r="M16" s="24"/>
    </row>
    <row r="17" spans="11:14" x14ac:dyDescent="0.35">
      <c r="K17" s="163"/>
      <c r="M17" s="24"/>
      <c r="N17" s="24"/>
    </row>
    <row r="18" spans="11:14" x14ac:dyDescent="0.35">
      <c r="N18" s="24"/>
    </row>
  </sheetData>
  <mergeCells count="2">
    <mergeCell ref="I4:I5"/>
    <mergeCell ref="I7:I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Resultat</vt:lpstr>
      <vt:lpstr>Beregning nulpunkt</vt:lpstr>
      <vt:lpstr>Beregninger DB</vt:lpstr>
      <vt:lpstr>Foderpris</vt:lpstr>
    </vt:vector>
  </TitlesOfParts>
  <Company>Dansk Landbrugsrådgivning, Landscentret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Rasmus Bak Stephansen</cp:lastModifiedBy>
  <cp:lastPrinted>2015-01-28T12:01:10Z</cp:lastPrinted>
  <dcterms:created xsi:type="dcterms:W3CDTF">2010-08-23T10:39:37Z</dcterms:created>
  <dcterms:modified xsi:type="dcterms:W3CDTF">2021-03-24T10:01:17Z</dcterms:modified>
</cp:coreProperties>
</file>