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32760" yWindow="32760" windowWidth="28800" windowHeight="12230" activeTab="2"/>
  </bookViews>
  <sheets>
    <sheet name="Forklaring" sheetId="1" r:id="rId1"/>
    <sheet name="Normark" sheetId="2" state="hidden" r:id="rId2"/>
    <sheet name="N-min beregning" sheetId="3" r:id="rId3"/>
    <sheet name="Indtastning til N-behov" sheetId="4" r:id="rId4"/>
    <sheet name="Udskrift" sheetId="5" r:id="rId5"/>
    <sheet name="Opslagstabeller" sheetId="6" state="hidden" r:id="rId6"/>
    <sheet name="Rulletekst" sheetId="7" state="hidden" r:id="rId7"/>
  </sheets>
  <definedNames>
    <definedName name="_xlfn.CONCAT" hidden="1">#NAME?</definedName>
    <definedName name="_xlfn.SINGLE" hidden="1">#NAME?</definedName>
    <definedName name="Afgr">'Normark'!$A$4:$G$14</definedName>
    <definedName name="Faktor2">'Rulletekst'!$B$23:$C$32</definedName>
    <definedName name="Org">'Normark'!$A$18:$H$29</definedName>
    <definedName name="rester">'Normark'!$A$35:$D$56</definedName>
    <definedName name="_xlnm.Print_Area" localSheetId="4">'Udskrift'!$A$2:$G$32</definedName>
  </definedNames>
  <calcPr fullCalcOnLoad="1"/>
</workbook>
</file>

<file path=xl/comments2.xml><?xml version="1.0" encoding="utf-8"?>
<comments xmlns="http://schemas.openxmlformats.org/spreadsheetml/2006/main">
  <authors>
    <author>Nanna Hellum Kristensen</author>
    <author>Camilla Lemming</author>
  </authors>
  <commentList>
    <comment ref="C3" authorId="0">
      <text>
        <r>
          <rPr>
            <b/>
            <sz val="9"/>
            <rFont val="Tahoma"/>
            <family val="2"/>
          </rPr>
          <t>Nanna Hellum Kristensen:</t>
        </r>
        <r>
          <rPr>
            <sz val="9"/>
            <rFont val="Tahoma"/>
            <family val="2"/>
          </rPr>
          <t xml:space="preserve">
Basisudbyttet er det samme fra år til år. Ændret i 2020 ift. Leif's basisnormer
CAL 28/2 '20: efter snak med Leif, har jeg rettet basisudbytterne til udbyttenormen på JB2+4 (undtaget for sukkerorer hvor den er for JB 5-6). Det er gjort for at få overensstemmelse mellem pjecetal og regnearkstal. </t>
        </r>
      </text>
    </comment>
    <comment ref="B19" authorId="0">
      <text>
        <r>
          <rPr>
            <b/>
            <sz val="9"/>
            <rFont val="Tahoma"/>
            <family val="2"/>
          </rPr>
          <t>Nanna Hellum Kristensen:</t>
        </r>
        <r>
          <rPr>
            <sz val="9"/>
            <rFont val="Tahoma"/>
            <family val="2"/>
          </rPr>
          <t xml:space="preserve">
Slagtekyllinger, 1000 stk i normtabel, produktionstid 30 d</t>
        </r>
      </text>
    </comment>
    <comment ref="B16" authorId="0">
      <text>
        <r>
          <rPr>
            <b/>
            <sz val="9"/>
            <rFont val="Tahoma"/>
            <family val="2"/>
          </rPr>
          <t xml:space="preserve">Nanna Hellum Kristensen:
</t>
        </r>
        <r>
          <rPr>
            <sz val="9"/>
            <rFont val="Tahoma"/>
            <family val="2"/>
          </rPr>
          <t>normtal for husdyrgødninger fra http://anis.au.dk/forskning/sektioner/husdyrernaering-og-fysiologi/normtal/ 
kg N - kg NH4-N</t>
        </r>
      </text>
    </comment>
    <comment ref="C8" authorId="0">
      <text>
        <r>
          <rPr>
            <b/>
            <sz val="9"/>
            <rFont val="Tahoma"/>
            <family val="2"/>
          </rPr>
          <t>Nanna Hellum Kristensen:</t>
        </r>
        <r>
          <rPr>
            <sz val="9"/>
            <rFont val="Tahoma"/>
            <family val="2"/>
          </rPr>
          <t xml:space="preserve">
Ændret til 657 som er udbyttenormen på JB 5-6</t>
        </r>
      </text>
    </comment>
    <comment ref="H3" authorId="0">
      <text>
        <r>
          <rPr>
            <b/>
            <sz val="9"/>
            <rFont val="Tahoma"/>
            <family val="2"/>
          </rPr>
          <t>Nanna Hellum Kristensen:</t>
        </r>
        <r>
          <rPr>
            <sz val="9"/>
            <rFont val="Tahoma"/>
            <family val="2"/>
          </rPr>
          <t xml:space="preserve">
Normer opdateret 04-2-2021_nhkr</t>
        </r>
      </text>
    </comment>
    <comment ref="C16" authorId="0">
      <text>
        <r>
          <rPr>
            <b/>
            <sz val="9"/>
            <rFont val="Tahoma"/>
            <family val="2"/>
          </rPr>
          <t>Nanna Hellum Kristensen:</t>
        </r>
        <r>
          <rPr>
            <sz val="9"/>
            <rFont val="Tahoma"/>
            <family val="2"/>
          </rPr>
          <t>Opdateret12-022020 med normer for 2019</t>
        </r>
        <r>
          <rPr>
            <sz val="9"/>
            <rFont val="Tahoma"/>
            <family val="2"/>
          </rPr>
          <t xml:space="preserve">
Indhold pr. ton gødning, Kg N</t>
        </r>
      </text>
    </comment>
    <comment ref="E12" authorId="1">
      <text>
        <r>
          <rPr>
            <b/>
            <sz val="9"/>
            <rFont val="Tahoma"/>
            <family val="2"/>
          </rPr>
          <t>Camilla Lemming:</t>
        </r>
        <r>
          <rPr>
            <sz val="9"/>
            <rFont val="Tahoma"/>
            <family val="2"/>
          </rPr>
          <t xml:space="preserve">
Rettet 28/2 '20 efter input fra Leif. Rettet fra 1,7 til 1,5.
</t>
        </r>
      </text>
    </comment>
    <comment ref="B10" authorId="1">
      <text>
        <r>
          <rPr>
            <b/>
            <sz val="9"/>
            <rFont val="Tahoma"/>
            <family val="2"/>
          </rPr>
          <t>Camilla Lemming:</t>
        </r>
        <r>
          <rPr>
            <sz val="9"/>
            <rFont val="Tahoma"/>
            <family val="2"/>
          </rPr>
          <t xml:space="preserve">
28/2 '20: Ændret fra "Vinterbyg u. proteinkorrektion" til Stivelseskartofler, efter aftale med Leif. Ønske fra Michael S. Toft at få stivelsekartofler med. </t>
        </r>
      </text>
    </comment>
    <comment ref="D8" authorId="1">
      <text>
        <r>
          <rPr>
            <b/>
            <sz val="9"/>
            <rFont val="Tahoma"/>
            <family val="2"/>
          </rPr>
          <t xml:space="preserve">Camilla Lemming:
</t>
        </r>
        <r>
          <rPr>
            <sz val="9"/>
            <rFont val="Tahoma"/>
            <family val="2"/>
          </rPr>
          <t xml:space="preserve">De 155 er skrevet ind (ikke beregnet). Skyldes at kvælstofnormen nok er for høj. </t>
        </r>
      </text>
    </comment>
    <comment ref="J8" authorId="1">
      <text>
        <r>
          <rPr>
            <b/>
            <sz val="9"/>
            <rFont val="Tahoma"/>
            <family val="2"/>
          </rPr>
          <t>Camilla Lemming:</t>
        </r>
        <r>
          <rPr>
            <sz val="9"/>
            <rFont val="Tahoma"/>
            <family val="2"/>
          </rPr>
          <t xml:space="preserve">
28/2 '20: Ændret fra 30 til 40 efter input fra Leif</t>
        </r>
      </text>
    </comment>
    <comment ref="H10" authorId="0">
      <text>
        <r>
          <rPr>
            <b/>
            <sz val="9"/>
            <rFont val="Tahoma"/>
            <family val="2"/>
          </rPr>
          <t>Nanna Hellum Kristensen:</t>
        </r>
        <r>
          <rPr>
            <sz val="9"/>
            <rFont val="Tahoma"/>
            <family val="2"/>
          </rPr>
          <t xml:space="preserve">
04-02-2021- nhkr: jeg har sat normen ind for stivelseskartofler. Det var normen for byg der stod der før -jeg har også ændret basisudbyttet</t>
        </r>
      </text>
    </comment>
    <comment ref="H14" authorId="0">
      <text>
        <r>
          <rPr>
            <b/>
            <sz val="9"/>
            <rFont val="Tahoma"/>
            <family val="2"/>
          </rPr>
          <t>Nanna Hellum Kristensen:</t>
        </r>
        <r>
          <rPr>
            <sz val="9"/>
            <rFont val="Tahoma"/>
            <family val="2"/>
          </rPr>
          <t xml:space="preserve">
Spinat frø</t>
        </r>
      </text>
    </comment>
    <comment ref="B21" authorId="0">
      <text>
        <r>
          <rPr>
            <b/>
            <sz val="9"/>
            <rFont val="Tahoma"/>
            <family val="2"/>
          </rPr>
          <t>Nanna Hellum Kristensen:</t>
        </r>
        <r>
          <rPr>
            <sz val="9"/>
            <rFont val="Tahoma"/>
            <family val="2"/>
          </rPr>
          <t xml:space="preserve">
findes ikke i normtabel</t>
        </r>
      </text>
    </comment>
    <comment ref="B22" authorId="0">
      <text>
        <r>
          <rPr>
            <b/>
            <sz val="9"/>
            <rFont val="Tahoma"/>
            <family val="2"/>
          </rPr>
          <t>Nanna Hellum Kristensen:</t>
        </r>
        <r>
          <rPr>
            <sz val="9"/>
            <rFont val="Tahoma"/>
            <family val="2"/>
          </rPr>
          <t xml:space="preserve">
1 årsko, tung race, dybstrøelse hele arealet</t>
        </r>
      </text>
    </comment>
    <comment ref="B23" authorId="0">
      <text>
        <r>
          <rPr>
            <b/>
            <sz val="9"/>
            <rFont val="Tahoma"/>
            <family val="2"/>
          </rPr>
          <t>Nanna Hellum Kristensen:</t>
        </r>
        <r>
          <rPr>
            <sz val="9"/>
            <rFont val="Tahoma"/>
            <family val="2"/>
          </rPr>
          <t xml:space="preserve">
Bindeslald med greb staldgødning</t>
        </r>
      </text>
    </comment>
    <comment ref="B24" authorId="0">
      <text>
        <r>
          <rPr>
            <b/>
            <sz val="9"/>
            <rFont val="Tahoma"/>
            <family val="2"/>
          </rPr>
          <t>Nanna Hellum Kristensen:</t>
        </r>
        <r>
          <rPr>
            <sz val="9"/>
            <rFont val="Tahoma"/>
            <family val="2"/>
          </rPr>
          <t xml:space="preserve">
Årsko, tung race sengestald med spalter, gylle</t>
        </r>
      </text>
    </comment>
    <comment ref="B25" authorId="0">
      <text>
        <r>
          <rPr>
            <b/>
            <sz val="9"/>
            <rFont val="Tahoma"/>
            <family val="2"/>
          </rPr>
          <t>Nanna Hellum Kristensen:</t>
        </r>
        <r>
          <rPr>
            <sz val="9"/>
            <rFont val="Tahoma"/>
            <family val="2"/>
          </rPr>
          <t xml:space="preserve">
findes ikke i normtabel</t>
        </r>
      </text>
    </comment>
    <comment ref="B26" authorId="0">
      <text>
        <r>
          <rPr>
            <b/>
            <sz val="9"/>
            <rFont val="Tahoma"/>
            <family val="2"/>
          </rPr>
          <t>Nanna Hellum Kristensen:</t>
        </r>
        <r>
          <rPr>
            <sz val="9"/>
            <rFont val="Tahoma"/>
            <family val="2"/>
          </rPr>
          <t xml:space="preserve">
findes ikke i normtabel</t>
        </r>
      </text>
    </comment>
    <comment ref="B27" authorId="0">
      <text>
        <r>
          <rPr>
            <b/>
            <sz val="9"/>
            <rFont val="Tahoma"/>
            <family val="2"/>
          </rPr>
          <t>Nanna Hellum Kristensen:</t>
        </r>
        <r>
          <rPr>
            <sz val="9"/>
            <rFont val="Tahoma"/>
            <family val="2"/>
          </rPr>
          <t xml:space="preserve">
konventionel slagtesvin 1stk. Produceret, staldsystem = dybstrøelse</t>
        </r>
      </text>
    </comment>
    <comment ref="B29" authorId="0">
      <text>
        <r>
          <rPr>
            <b/>
            <sz val="9"/>
            <rFont val="Tahoma"/>
            <family val="2"/>
          </rPr>
          <t>Nanna Hellum Kristensen:</t>
        </r>
        <r>
          <rPr>
            <sz val="9"/>
            <rFont val="Tahoma"/>
            <family val="2"/>
          </rPr>
          <t xml:space="preserve">
staldsystem delvis spaltegulv 50-75% fast, gylle</t>
        </r>
      </text>
    </comment>
    <comment ref="B28" authorId="0">
      <text>
        <r>
          <rPr>
            <sz val="9"/>
            <rFont val="Tahoma"/>
            <family val="2"/>
          </rPr>
          <t>Staldgødning, fast gulv</t>
        </r>
      </text>
    </comment>
    <comment ref="B18" authorId="0">
      <text>
        <r>
          <rPr>
            <b/>
            <sz val="9"/>
            <rFont val="Tahoma"/>
            <family val="2"/>
          </rPr>
          <t>Nanna Hellum Kristensen:</t>
        </r>
        <r>
          <rPr>
            <sz val="9"/>
            <rFont val="Tahoma"/>
            <family val="2"/>
          </rPr>
          <t xml:space="preserve">
findes ikke i normtabel</t>
        </r>
      </text>
    </comment>
    <comment ref="C18" authorId="0">
      <text>
        <r>
          <rPr>
            <b/>
            <sz val="9"/>
            <rFont val="Tahoma"/>
            <family val="2"/>
          </rPr>
          <t>nhkr:</t>
        </r>
        <r>
          <rPr>
            <sz val="9"/>
            <rFont val="Tahoma"/>
            <family val="2"/>
          </rPr>
          <t>afgasset gylle ligger lidt over kvæggylle fordi der kommes noget dybstrøelse i</t>
        </r>
      </text>
    </comment>
  </commentList>
</comments>
</file>

<file path=xl/comments4.xml><?xml version="1.0" encoding="utf-8"?>
<comments xmlns="http://schemas.openxmlformats.org/spreadsheetml/2006/main">
  <authors>
    <author>Leif Knudsen</author>
    <author>Hans S. ?stergaard</author>
  </authors>
  <commentList>
    <comment ref="C24" authorId="0">
      <text>
        <r>
          <rPr>
            <b/>
            <sz val="9"/>
            <rFont val="Tahoma"/>
            <family val="2"/>
          </rPr>
          <t>Leif Knudsen:</t>
        </r>
        <r>
          <rPr>
            <sz val="9"/>
            <rFont val="Tahoma"/>
            <family val="2"/>
          </rPr>
          <t xml:space="preserve">
Gælder kun raps, frøgræs. 0 for fjernelse, 1 for nedmuldning</t>
        </r>
      </text>
    </comment>
    <comment ref="D25" authorId="1">
      <text>
        <r>
          <rPr>
            <sz val="9"/>
            <rFont val="Tahoma"/>
            <family val="2"/>
          </rPr>
          <t xml:space="preserve">Dvs. efterår året før eller forår
</t>
        </r>
      </text>
    </comment>
    <comment ref="D26" authorId="1">
      <text>
        <r>
          <rPr>
            <b/>
            <sz val="9"/>
            <rFont val="Tahoma"/>
            <family val="2"/>
          </rPr>
          <t xml:space="preserve">Dvs. efterår året før eller forår
</t>
        </r>
        <r>
          <rPr>
            <sz val="9"/>
            <rFont val="Tahoma"/>
            <family val="2"/>
          </rPr>
          <t xml:space="preserve">
</t>
        </r>
      </text>
    </comment>
    <comment ref="A13" authorId="1">
      <text>
        <r>
          <rPr>
            <b/>
            <sz val="9"/>
            <rFont val="Tahoma"/>
            <family val="2"/>
          </rPr>
          <t>Beregnes under fanebladet "N-min beregning"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<sst xmlns="http://schemas.openxmlformats.org/spreadsheetml/2006/main" count="283" uniqueCount="193">
  <si>
    <t>Udbyttekorrektion</t>
  </si>
  <si>
    <t>Maltbyg</t>
  </si>
  <si>
    <t>Vinterbyg</t>
  </si>
  <si>
    <t>Afgrødenormer</t>
  </si>
  <si>
    <t>Organisk stof:</t>
  </si>
  <si>
    <t>Kvæggylle</t>
  </si>
  <si>
    <t>Svinegylle</t>
  </si>
  <si>
    <t>Afgasset gylle</t>
  </si>
  <si>
    <t>Svin,dybstrøelse</t>
  </si>
  <si>
    <t>Kvæg, dybstrøelse</t>
  </si>
  <si>
    <t>Fjerkræ,dybstrøelse</t>
  </si>
  <si>
    <t>Svin,fast gødning</t>
  </si>
  <si>
    <t>Novogro 30</t>
  </si>
  <si>
    <t>Slam</t>
  </si>
  <si>
    <t>Kalkslam</t>
  </si>
  <si>
    <t>Org. N pr. ton</t>
  </si>
  <si>
    <t>Frøgræs, 1. års</t>
  </si>
  <si>
    <t>Frøgræs, 2+3 års</t>
  </si>
  <si>
    <t>Fabr.roer, top nedpløjet</t>
  </si>
  <si>
    <t>Kl.græs</t>
  </si>
  <si>
    <t>Græs, slæt</t>
  </si>
  <si>
    <t>Lucerne</t>
  </si>
  <si>
    <t>Hvidkløver</t>
  </si>
  <si>
    <t>Vinterraps</t>
  </si>
  <si>
    <t>Kartofler</t>
  </si>
  <si>
    <t>Navn</t>
  </si>
  <si>
    <t>Adresse</t>
  </si>
  <si>
    <t>Tlf.nr.</t>
  </si>
  <si>
    <t>Medl.nr.</t>
  </si>
  <si>
    <t>Prøvedato</t>
  </si>
  <si>
    <t>Afgrøde</t>
  </si>
  <si>
    <t>Halmrester</t>
  </si>
  <si>
    <t>nr.</t>
  </si>
  <si>
    <t>Hkg/ha</t>
  </si>
  <si>
    <t>Forsyningsnorm</t>
  </si>
  <si>
    <t>kg N/ha</t>
  </si>
  <si>
    <t>Beregnet forsyningsnorm</t>
  </si>
  <si>
    <t>Stub</t>
  </si>
  <si>
    <t>Halmnedm. (0-1)</t>
  </si>
  <si>
    <t>Ton/ha</t>
  </si>
  <si>
    <t>Afgrøderester</t>
  </si>
  <si>
    <t>(rester)</t>
  </si>
  <si>
    <t>Organiske gødninger</t>
  </si>
  <si>
    <t>Forsyningsnorm i alt:</t>
  </si>
  <si>
    <t>Leveres fra jorden:</t>
  </si>
  <si>
    <t>Afgrøderester inkl. halm</t>
  </si>
  <si>
    <t>I alt:</t>
  </si>
  <si>
    <t>Kg N/ha</t>
  </si>
  <si>
    <t>Korrektioner i alt</t>
  </si>
  <si>
    <t>Tilførselsbehov</t>
  </si>
  <si>
    <t>Kg N org.gødninger</t>
  </si>
  <si>
    <t>Afgrødens udnyttelse af kvælstof</t>
  </si>
  <si>
    <t>Udn. Min. N</t>
  </si>
  <si>
    <t>N-min:</t>
  </si>
  <si>
    <t>Kg N pr. ha</t>
  </si>
  <si>
    <t>Vinterhvede</t>
  </si>
  <si>
    <t>Vårbyg</t>
  </si>
  <si>
    <t>Forventet udbytte:</t>
  </si>
  <si>
    <t>Kommentar:</t>
  </si>
  <si>
    <t>Afgrødeår</t>
  </si>
  <si>
    <t>Kg N afgr. Rest_Stub</t>
  </si>
  <si>
    <t>Kg N afgr.rest_Halm</t>
  </si>
  <si>
    <t>Eftervirkning i alt</t>
  </si>
  <si>
    <t>Organisk gødning til afgrøde i år</t>
  </si>
  <si>
    <t>Tilført organisk kvælstof, kg N pr. ha</t>
  </si>
  <si>
    <t>Udbytte-korrektion</t>
  </si>
  <si>
    <t>Beregnet frigivelse i afgrødeåret, kg N pr. ha</t>
  </si>
  <si>
    <t>Mark nr.</t>
  </si>
  <si>
    <t>Forventet udbytte</t>
  </si>
  <si>
    <t>Egne rumvægte</t>
  </si>
  <si>
    <t>Prøve</t>
  </si>
  <si>
    <t>mg N pr. kg tørstof</t>
  </si>
  <si>
    <t>Prøvetagningsdybde, cm</t>
  </si>
  <si>
    <t>N-min i roddybde</t>
  </si>
  <si>
    <t>Nitrat</t>
  </si>
  <si>
    <t>Ammonium</t>
  </si>
  <si>
    <t>Nitrat+ammonium</t>
  </si>
  <si>
    <t>Kg pr. ha</t>
  </si>
  <si>
    <t>Dybde</t>
  </si>
  <si>
    <t>Rumvægt</t>
  </si>
  <si>
    <t>0-25 cm</t>
  </si>
  <si>
    <t>25-50 cm</t>
  </si>
  <si>
    <t>50-75 cm</t>
  </si>
  <si>
    <t>75-100 cm</t>
  </si>
  <si>
    <r>
      <t xml:space="preserve">Standard rumvægt </t>
    </r>
    <r>
      <rPr>
        <vertAlign val="superscript"/>
        <sz val="11"/>
        <color indexed="8"/>
        <rFont val="Calibri"/>
        <family val="2"/>
      </rPr>
      <t>3)</t>
    </r>
  </si>
  <si>
    <r>
      <t xml:space="preserve">Roddybde, cm </t>
    </r>
    <r>
      <rPr>
        <b/>
        <vertAlign val="superscript"/>
        <sz val="12"/>
        <color indexed="8"/>
        <rFont val="Calibri"/>
        <family val="2"/>
      </rPr>
      <t>2</t>
    </r>
    <r>
      <rPr>
        <b/>
        <vertAlign val="superscript"/>
        <sz val="12"/>
        <color indexed="8"/>
        <rFont val="Calibri"/>
        <family val="2"/>
      </rPr>
      <t>)</t>
    </r>
  </si>
  <si>
    <r>
      <rPr>
        <vertAlign val="superscript"/>
        <sz val="11"/>
        <color indexed="8"/>
        <rFont val="Calibri"/>
        <family val="2"/>
      </rPr>
      <t xml:space="preserve">1) </t>
    </r>
    <r>
      <rPr>
        <sz val="11"/>
        <color indexed="8"/>
        <rFont val="Calibri"/>
        <family val="2"/>
      </rPr>
      <t>Hvis analyseværdien er opgivet med basis i vådvægt i stedet for med basis i tørvægt, skal analyseværdien før indtastning divideres med tørstofprocenten og multipliceres med 100</t>
    </r>
  </si>
  <si>
    <r>
      <t xml:space="preserve">2) </t>
    </r>
    <r>
      <rPr>
        <sz val="11"/>
        <color theme="1"/>
        <rFont val="Calibri"/>
        <family val="2"/>
      </rPr>
      <t>På grovsandet jord (JB 1 og 3) er roddybden maksimalt 50 cm, på finsandet jord (JB 2 og 4) maksimalt 75 cm og på lerjord (JB over 4) maksimalt 100 cm. For visse grønsager er roddybden mindre (se N-min pjecen side 5, se link nedenfor)</t>
    </r>
  </si>
  <si>
    <r>
      <rPr>
        <vertAlign val="superscript"/>
        <sz val="11"/>
        <rFont val="Calibri"/>
        <family val="2"/>
      </rPr>
      <t xml:space="preserve">3)  </t>
    </r>
    <r>
      <rPr>
        <sz val="11"/>
        <color indexed="8"/>
        <rFont val="Calibri"/>
        <family val="2"/>
      </rPr>
      <t>Standardrumvægtene er 0-25 cm: 1,4, 25-50 cm: 1,4, 50-75 cm: 1,52 og 75-100cm: 1,52</t>
    </r>
  </si>
  <si>
    <r>
      <t xml:space="preserve">4) </t>
    </r>
    <r>
      <rPr>
        <sz val="11"/>
        <rFont val="Calibri"/>
        <family val="2"/>
      </rPr>
      <t>Hvis rumvægten i en eller flere af dybderne afviger fra standardværdierne, indtastes  egne værdier for rumvægt i tabellen nedenfor</t>
    </r>
  </si>
  <si>
    <t>Faktorer, standard volvægt</t>
  </si>
  <si>
    <t>roddybde</t>
  </si>
  <si>
    <t>Prøvedybde</t>
  </si>
  <si>
    <t>0-25</t>
  </si>
  <si>
    <t>0-50</t>
  </si>
  <si>
    <t>0-75</t>
  </si>
  <si>
    <t>0-100</t>
  </si>
  <si>
    <t>Faktorer, afvigende volvægt</t>
  </si>
  <si>
    <t>Volvægt</t>
  </si>
  <si>
    <t>Standard</t>
  </si>
  <si>
    <t>Afvigende</t>
  </si>
  <si>
    <t>Faktor1</t>
  </si>
  <si>
    <t>Roddybde</t>
  </si>
  <si>
    <t>-</t>
  </si>
  <si>
    <t>N-min pjecen</t>
  </si>
  <si>
    <t>Høstår</t>
  </si>
  <si>
    <t>Vælg afgrøde fra rulleliste</t>
  </si>
  <si>
    <t>kg N pr. ha</t>
  </si>
  <si>
    <t>1. N-min i roddybde beregnes under fanebladet "N-min beregning". Input er analyseværdier i mg pr. kg (ppm) fra analysesedlerne fra laboratoriet. Hvis laboratoriet har beregnet værdierne i kg N pr. ha i prøvedybde, kan værdierne omregnes til N-min i roddybde vha. nedenstående tabel.</t>
  </si>
  <si>
    <t>3. Udskrift. De beregnede værdier samles i i fanebladet "Udskrift", hvor der også er plads til konsulentens kommentarer.</t>
  </si>
  <si>
    <t>Roer, top fjernet</t>
  </si>
  <si>
    <t>Majs</t>
  </si>
  <si>
    <t>Ærter</t>
  </si>
  <si>
    <t>2. N-min i roddybde indtastes i fanebladet "Indtastning til N-behov" sammen med oplysninger om afgrøde, forventet udbytte, forfrugter samt tilførsel af husdyrgødning. Programmet beregner forventet eftervirkning samt tilførselsbehov</t>
  </si>
  <si>
    <t>Forfatter</t>
  </si>
  <si>
    <t>Dato</t>
  </si>
  <si>
    <t>Version</t>
  </si>
  <si>
    <t>Forbehold</t>
  </si>
  <si>
    <t>Dokumentkilde</t>
  </si>
  <si>
    <t>Ingen</t>
  </si>
  <si>
    <t>Vilkår for anvendelse</t>
  </si>
  <si>
    <t>Kvælstof-forsyningsnorm</t>
  </si>
  <si>
    <t>Udbytteenheder</t>
  </si>
  <si>
    <t>Nanna Hellum Kristensen</t>
  </si>
  <si>
    <t>Der må kun tastes i feltet "Kommentar"</t>
  </si>
  <si>
    <t>Eftervirkning af organisk gødning</t>
  </si>
  <si>
    <t>N-min i rodzonen (kg N pr. ha)</t>
  </si>
  <si>
    <t>Prøvedato (dd-mm-yy)</t>
  </si>
  <si>
    <t>Afgrøde i år, vælg fra rulleliste</t>
  </si>
  <si>
    <t>Målt N-min i rodzonen (kg N pr. ha)</t>
  </si>
  <si>
    <t>Grønne felter og rullelister udfyldes</t>
  </si>
  <si>
    <t>Gylle/slam, vælg fra rulleliste</t>
  </si>
  <si>
    <r>
      <t xml:space="preserve">Indtastes fra analyseseddel </t>
    </r>
    <r>
      <rPr>
        <b/>
        <vertAlign val="superscript"/>
        <sz val="10"/>
        <color indexed="8"/>
        <rFont val="Calibri"/>
        <family val="2"/>
      </rPr>
      <t>1)</t>
    </r>
  </si>
  <si>
    <t>Nanna Hellum</t>
  </si>
  <si>
    <t>Agro Food Park</t>
  </si>
  <si>
    <t>8200 Aarhus N</t>
  </si>
  <si>
    <t>hkg pr. ha</t>
  </si>
  <si>
    <t>FE pr. ha</t>
  </si>
  <si>
    <t>N-min på JB 2+4 - udgangspunkt</t>
  </si>
  <si>
    <t>Kvælstofnorm i Vejledning om gødskning og harmonirelger, JB 2+4</t>
  </si>
  <si>
    <t>Udbyttenorm i Vejledning om gødskning og harmonirelger, JB 2+4</t>
  </si>
  <si>
    <t>Vinterhvede u. proteinkorr.</t>
  </si>
  <si>
    <t>Maltbyg eller foderbyg u.proteinkorr</t>
  </si>
  <si>
    <t>Basisudbytte</t>
  </si>
  <si>
    <t>Proteinkorr.</t>
  </si>
  <si>
    <t>Forfrugter</t>
  </si>
  <si>
    <t>Konsulentmeddelse nr. 1073, 2017</t>
  </si>
  <si>
    <t>1.4</t>
  </si>
  <si>
    <t>Vinterhvede, brødhvede</t>
  </si>
  <si>
    <t>Korrektion for udtagningstidspunkt for N-min:</t>
  </si>
  <si>
    <t>Ref.tidspunkt:</t>
  </si>
  <si>
    <t>Korrektion pr. dag efter:</t>
  </si>
  <si>
    <t>kg pr. dag</t>
  </si>
  <si>
    <t>Opslag dyrkningshistorie</t>
  </si>
  <si>
    <t>Dyrkningshistorie</t>
  </si>
  <si>
    <t>Eftervirkning</t>
  </si>
  <si>
    <t>Total fra grundlag</t>
  </si>
  <si>
    <t>Heraf ekstra N-min forår</t>
  </si>
  <si>
    <t>Kontinuert korn, ingen husdyrgødning</t>
  </si>
  <si>
    <t>Sædskifte, ingen husdyrgødning</t>
  </si>
  <si>
    <t>Sædskifte, svine- eller afgasset gylle</t>
  </si>
  <si>
    <t>Kvægbrug, kl.græs i sædsk., 170 N brug</t>
  </si>
  <si>
    <t>Kvægbrug, kl.græs i sædsk., 230 kg N brug</t>
  </si>
  <si>
    <t>Udvaskning efterår til forår</t>
  </si>
  <si>
    <t>pct.</t>
  </si>
  <si>
    <t>Ekstra N-min efterår, maks. Eftervirkning</t>
  </si>
  <si>
    <t>kg N</t>
  </si>
  <si>
    <t>Ekstra N-min forår</t>
  </si>
  <si>
    <t>Pct. Af eftervirkning</t>
  </si>
  <si>
    <t>Indregnet andel af ekstra mineralisering i N-min</t>
  </si>
  <si>
    <t>Bidrag fra dyrkningshistorien</t>
  </si>
  <si>
    <t>I alt</t>
  </si>
  <si>
    <t>Efterafgr., korsbl. Nedm.efterår, kraftig</t>
  </si>
  <si>
    <t>Efterafgr.,korsbl.,Nedm.forår, kraftig</t>
  </si>
  <si>
    <t>Efterafgr., korsbl. Nedm.efterår,normal</t>
  </si>
  <si>
    <t>Efterafgr.,korsbl.,Nedm.forår,normal</t>
  </si>
  <si>
    <t>Efterafgr., korsbl. Nedm.efterår,svag</t>
  </si>
  <si>
    <t>Efterafgr.,korsbl.,Nedm.forår,svag</t>
  </si>
  <si>
    <r>
      <t>Korrigeret N-min i roddybde</t>
    </r>
    <r>
      <rPr>
        <vertAlign val="superscript"/>
        <sz val="11"/>
        <color indexed="8"/>
        <rFont val="Calibri"/>
        <family val="2"/>
      </rPr>
      <t>1</t>
    </r>
  </si>
  <si>
    <t>1) Korrigeret til udtagning medio februar</t>
  </si>
  <si>
    <t>Organiske gødninger og dyrkningshistorie</t>
  </si>
  <si>
    <t>NB! Hvis nedbør fra 15. februar til prøvetidspunkt afviger meget fra normalen kan N-min skønsmæssigt korrigeres med 1 kg N pr. 10 mm nedbørsafvigelse.</t>
  </si>
  <si>
    <t>Prøvetagning udført, antal dage efter 15. februar</t>
  </si>
  <si>
    <t>Kvæg,fast gødning (staldgødning)</t>
  </si>
  <si>
    <t>Vårbyg m. proteinkorr.</t>
  </si>
  <si>
    <t>Kartofler, lægge-</t>
  </si>
  <si>
    <t>Kartofler, stivelse-</t>
  </si>
  <si>
    <t>Silomajs</t>
  </si>
  <si>
    <t>Fabriksroer</t>
  </si>
  <si>
    <t>Vinterbyg m. proteinkorr.</t>
  </si>
  <si>
    <t>Vinterhvede m. proteinkorr. (egen opfodring)</t>
  </si>
  <si>
    <t>Spinat, frø</t>
  </si>
  <si>
    <t>02. februar 2022</t>
  </si>
</sst>
</file>

<file path=xl/styles.xml><?xml version="1.0" encoding="utf-8"?>
<styleSheet xmlns="http://schemas.openxmlformats.org/spreadsheetml/2006/main">
  <numFmts count="2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11"/>
      <name val="Calibri"/>
      <family val="2"/>
    </font>
    <font>
      <sz val="11"/>
      <name val="Calibri"/>
      <family val="2"/>
    </font>
    <font>
      <b/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b/>
      <sz val="11"/>
      <color indexed="17"/>
      <name val="Calibri"/>
      <family val="2"/>
    </font>
    <font>
      <sz val="11"/>
      <color indexed="52"/>
      <name val="Calibri"/>
      <family val="2"/>
    </font>
    <font>
      <b/>
      <sz val="18"/>
      <color indexed="17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vertAlign val="superscript"/>
      <sz val="11"/>
      <color indexed="21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vertAlign val="superscript"/>
      <sz val="11"/>
      <color theme="1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49998000264167786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medium"/>
      <bottom>
        <color indexed="63"/>
      </bottom>
    </border>
    <border>
      <left style="thin"/>
      <right/>
      <top/>
      <bottom/>
    </border>
    <border>
      <left/>
      <right style="thin"/>
      <top style="medium"/>
      <bottom>
        <color indexed="63"/>
      </bottom>
    </border>
    <border>
      <left/>
      <right style="medium"/>
      <top style="thin"/>
      <bottom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0" borderId="3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21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32">
    <xf numFmtId="0" fontId="0" fillId="0" borderId="0" xfId="0" applyFon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/>
    </xf>
    <xf numFmtId="0" fontId="0" fillId="4" borderId="10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52" fillId="0" borderId="0" xfId="0" applyFont="1" applyAlignment="1">
      <alignment/>
    </xf>
    <xf numFmtId="0" fontId="53" fillId="0" borderId="12" xfId="0" applyFont="1" applyBorder="1" applyAlignment="1">
      <alignment/>
    </xf>
    <xf numFmtId="1" fontId="53" fillId="0" borderId="12" xfId="0" applyNumberFormat="1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0" xfId="0" applyAlignment="1" applyProtection="1">
      <alignment/>
      <protection locked="0"/>
    </xf>
    <xf numFmtId="0" fontId="54" fillId="0" borderId="0" xfId="49" applyFont="1" applyAlignment="1" applyProtection="1">
      <alignment vertical="center"/>
      <protection/>
    </xf>
    <xf numFmtId="0" fontId="6" fillId="0" borderId="0" xfId="49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2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174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 quotePrefix="1">
      <alignment horizontal="center"/>
    </xf>
    <xf numFmtId="174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20" xfId="0" applyBorder="1" applyAlignment="1" quotePrefix="1">
      <alignment horizontal="center"/>
    </xf>
    <xf numFmtId="174" fontId="0" fillId="0" borderId="19" xfId="0" applyNumberFormat="1" applyBorder="1" applyAlignment="1">
      <alignment horizontal="center"/>
    </xf>
    <xf numFmtId="174" fontId="0" fillId="0" borderId="20" xfId="0" applyNumberFormat="1" applyBorder="1" applyAlignment="1" quotePrefix="1">
      <alignment horizontal="center"/>
    </xf>
    <xf numFmtId="174" fontId="0" fillId="0" borderId="0" xfId="0" applyNumberFormat="1" applyAlignment="1" quotePrefix="1">
      <alignment horizontal="center"/>
    </xf>
    <xf numFmtId="0" fontId="0" fillId="0" borderId="19" xfId="0" applyBorder="1" applyAlignment="1" quotePrefix="1">
      <alignment horizontal="center"/>
    </xf>
    <xf numFmtId="174" fontId="0" fillId="0" borderId="20" xfId="0" applyNumberFormat="1" applyBorder="1" applyAlignment="1">
      <alignment horizontal="center"/>
    </xf>
    <xf numFmtId="0" fontId="0" fillId="0" borderId="16" xfId="0" applyBorder="1" applyAlignment="1" quotePrefix="1">
      <alignment horizontal="center"/>
    </xf>
    <xf numFmtId="0" fontId="0" fillId="0" borderId="17" xfId="0" applyBorder="1" applyAlignment="1" quotePrefix="1">
      <alignment horizontal="center"/>
    </xf>
    <xf numFmtId="174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0" fillId="4" borderId="21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22" xfId="0" applyBorder="1" applyAlignment="1">
      <alignment/>
    </xf>
    <xf numFmtId="0" fontId="55" fillId="0" borderId="0" xfId="0" applyFont="1" applyBorder="1" applyAlignment="1">
      <alignment/>
    </xf>
    <xf numFmtId="1" fontId="55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42" fillId="33" borderId="0" xfId="49" applyFill="1" applyAlignment="1" applyProtection="1">
      <alignment/>
      <protection/>
    </xf>
    <xf numFmtId="0" fontId="0" fillId="33" borderId="0" xfId="49" applyFont="1" applyFill="1" applyAlignment="1" applyProtection="1">
      <alignment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1" fontId="0" fillId="0" borderId="17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" fontId="0" fillId="0" borderId="17" xfId="0" applyNumberFormat="1" applyFill="1" applyBorder="1" applyAlignment="1">
      <alignment/>
    </xf>
    <xf numFmtId="0" fontId="0" fillId="34" borderId="0" xfId="0" applyFill="1" applyBorder="1" applyAlignment="1">
      <alignment vertical="center" wrapText="1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21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21" xfId="0" applyFill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0" fillId="0" borderId="19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13" borderId="13" xfId="0" applyFill="1" applyBorder="1" applyAlignment="1">
      <alignment/>
    </xf>
    <xf numFmtId="0" fontId="0" fillId="13" borderId="15" xfId="0" applyFill="1" applyBorder="1" applyAlignment="1">
      <alignment/>
    </xf>
    <xf numFmtId="0" fontId="0" fillId="13" borderId="19" xfId="0" applyFill="1" applyBorder="1" applyAlignment="1">
      <alignment/>
    </xf>
    <xf numFmtId="1" fontId="0" fillId="13" borderId="0" xfId="0" applyNumberFormat="1" applyFill="1" applyBorder="1" applyAlignment="1">
      <alignment/>
    </xf>
    <xf numFmtId="0" fontId="0" fillId="13" borderId="20" xfId="0" applyFill="1" applyBorder="1" applyAlignment="1">
      <alignment/>
    </xf>
    <xf numFmtId="0" fontId="0" fillId="13" borderId="23" xfId="0" applyFill="1" applyBorder="1" applyAlignment="1">
      <alignment/>
    </xf>
    <xf numFmtId="1" fontId="0" fillId="13" borderId="12" xfId="0" applyNumberFormat="1" applyFill="1" applyBorder="1" applyAlignment="1">
      <alignment/>
    </xf>
    <xf numFmtId="0" fontId="0" fillId="13" borderId="24" xfId="0" applyFill="1" applyBorder="1" applyAlignment="1">
      <alignment/>
    </xf>
    <xf numFmtId="0" fontId="0" fillId="13" borderId="0" xfId="0" applyFill="1" applyBorder="1" applyAlignment="1">
      <alignment/>
    </xf>
    <xf numFmtId="0" fontId="50" fillId="13" borderId="25" xfId="0" applyFont="1" applyFill="1" applyBorder="1" applyAlignment="1">
      <alignment/>
    </xf>
    <xf numFmtId="1" fontId="50" fillId="13" borderId="26" xfId="0" applyNumberFormat="1" applyFont="1" applyFill="1" applyBorder="1" applyAlignment="1">
      <alignment/>
    </xf>
    <xf numFmtId="0" fontId="50" fillId="13" borderId="27" xfId="0" applyFont="1" applyFill="1" applyBorder="1" applyAlignment="1">
      <alignment/>
    </xf>
    <xf numFmtId="0" fontId="0" fillId="13" borderId="28" xfId="0" applyFill="1" applyBorder="1" applyAlignment="1">
      <alignment/>
    </xf>
    <xf numFmtId="0" fontId="0" fillId="13" borderId="29" xfId="0" applyFill="1" applyBorder="1" applyAlignment="1">
      <alignment/>
    </xf>
    <xf numFmtId="14" fontId="55" fillId="0" borderId="0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55" fillId="0" borderId="19" xfId="0" applyFont="1" applyBorder="1" applyAlignment="1">
      <alignment/>
    </xf>
    <xf numFmtId="0" fontId="55" fillId="0" borderId="19" xfId="0" applyFont="1" applyBorder="1" applyAlignment="1">
      <alignment horizontal="left"/>
    </xf>
    <xf numFmtId="0" fontId="50" fillId="0" borderId="19" xfId="0" applyFont="1" applyBorder="1" applyAlignment="1">
      <alignment/>
    </xf>
    <xf numFmtId="0" fontId="53" fillId="0" borderId="19" xfId="0" applyFont="1" applyBorder="1" applyAlignment="1">
      <alignment/>
    </xf>
    <xf numFmtId="0" fontId="53" fillId="0" borderId="23" xfId="0" applyFont="1" applyBorder="1" applyAlignment="1">
      <alignment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/>
    </xf>
    <xf numFmtId="0" fontId="31" fillId="6" borderId="31" xfId="0" applyFont="1" applyFill="1" applyBorder="1" applyAlignment="1">
      <alignment horizontal="center"/>
    </xf>
    <xf numFmtId="0" fontId="31" fillId="6" borderId="32" xfId="0" applyFont="1" applyFill="1" applyBorder="1" applyAlignment="1" applyProtection="1">
      <alignment horizontal="center"/>
      <protection locked="0"/>
    </xf>
    <xf numFmtId="0" fontId="50" fillId="6" borderId="33" xfId="0" applyFont="1" applyFill="1" applyBorder="1" applyAlignment="1">
      <alignment horizontal="center"/>
    </xf>
    <xf numFmtId="0" fontId="50" fillId="6" borderId="34" xfId="0" applyFont="1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50" fillId="6" borderId="35" xfId="0" applyFont="1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50" fillId="6" borderId="34" xfId="0" applyFont="1" applyFill="1" applyBorder="1" applyAlignment="1">
      <alignment horizontal="center" vertical="center" wrapText="1"/>
    </xf>
    <xf numFmtId="0" fontId="50" fillId="6" borderId="34" xfId="0" applyFont="1" applyFill="1" applyBorder="1" applyAlignment="1">
      <alignment vertical="center" wrapText="1"/>
    </xf>
    <xf numFmtId="0" fontId="50" fillId="6" borderId="34" xfId="0" applyFont="1" applyFill="1" applyBorder="1" applyAlignment="1">
      <alignment vertical="center"/>
    </xf>
    <xf numFmtId="0" fontId="0" fillId="6" borderId="31" xfId="0" applyFill="1" applyBorder="1" applyAlignment="1">
      <alignment horizontal="centerContinuous"/>
    </xf>
    <xf numFmtId="0" fontId="0" fillId="6" borderId="32" xfId="0" applyFill="1" applyBorder="1" applyAlignment="1">
      <alignment horizontal="centerContinuous"/>
    </xf>
    <xf numFmtId="0" fontId="0" fillId="6" borderId="12" xfId="0" applyFill="1" applyBorder="1" applyAlignment="1">
      <alignment horizontal="centerContinuous"/>
    </xf>
    <xf numFmtId="0" fontId="53" fillId="6" borderId="32" xfId="0" applyFont="1" applyFill="1" applyBorder="1" applyAlignment="1">
      <alignment horizontal="center"/>
    </xf>
    <xf numFmtId="0" fontId="53" fillId="6" borderId="10" xfId="0" applyFont="1" applyFill="1" applyBorder="1" applyAlignment="1">
      <alignment horizontal="centerContinuous"/>
    </xf>
    <xf numFmtId="0" fontId="53" fillId="6" borderId="31" xfId="0" applyFont="1" applyFill="1" applyBorder="1" applyAlignment="1">
      <alignment horizontal="centerContinuous"/>
    </xf>
    <xf numFmtId="0" fontId="0" fillId="6" borderId="10" xfId="0" applyFill="1" applyBorder="1" applyAlignment="1">
      <alignment horizontal="center"/>
    </xf>
    <xf numFmtId="0" fontId="55" fillId="6" borderId="38" xfId="0" applyFont="1" applyFill="1" applyBorder="1" applyAlignment="1">
      <alignment horizontal="centerContinuous"/>
    </xf>
    <xf numFmtId="0" fontId="55" fillId="6" borderId="39" xfId="0" applyFont="1" applyFill="1" applyBorder="1" applyAlignment="1">
      <alignment horizontal="centerContinuous"/>
    </xf>
    <xf numFmtId="0" fontId="0" fillId="6" borderId="13" xfId="0" applyFill="1" applyBorder="1" applyAlignment="1">
      <alignment horizontal="centerContinuous"/>
    </xf>
    <xf numFmtId="0" fontId="0" fillId="6" borderId="15" xfId="0" applyFont="1" applyFill="1" applyBorder="1" applyAlignment="1">
      <alignment horizontal="centerContinuous" vertical="center"/>
    </xf>
    <xf numFmtId="0" fontId="0" fillId="6" borderId="19" xfId="49" applyFont="1" applyFill="1" applyBorder="1" applyAlignment="1" applyProtection="1">
      <alignment horizontal="center" vertical="center"/>
      <protection/>
    </xf>
    <xf numFmtId="0" fontId="0" fillId="6" borderId="20" xfId="0" applyFont="1" applyFill="1" applyBorder="1" applyAlignment="1">
      <alignment horizontal="center" vertical="center"/>
    </xf>
    <xf numFmtId="0" fontId="0" fillId="0" borderId="40" xfId="49" applyFont="1" applyBorder="1" applyAlignment="1" applyProtection="1">
      <alignment vertical="center"/>
      <protection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34" borderId="15" xfId="0" applyFill="1" applyBorder="1" applyAlignment="1" applyProtection="1">
      <alignment horizontal="center"/>
      <protection locked="0"/>
    </xf>
    <xf numFmtId="14" fontId="0" fillId="34" borderId="20" xfId="0" applyNumberFormat="1" applyFill="1" applyBorder="1" applyAlignment="1" applyProtection="1">
      <alignment horizontal="center"/>
      <protection locked="0"/>
    </xf>
    <xf numFmtId="0" fontId="50" fillId="6" borderId="33" xfId="0" applyFont="1" applyFill="1" applyBorder="1" applyAlignment="1">
      <alignment vertical="center"/>
    </xf>
    <xf numFmtId="0" fontId="0" fillId="34" borderId="12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wrapText="1"/>
    </xf>
    <xf numFmtId="0" fontId="0" fillId="6" borderId="42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17" xfId="0" applyBorder="1" applyAlignment="1">
      <alignment/>
    </xf>
    <xf numFmtId="1" fontId="0" fillId="0" borderId="17" xfId="0" applyNumberFormat="1" applyBorder="1" applyAlignment="1">
      <alignment horizontal="center"/>
    </xf>
    <xf numFmtId="0" fontId="0" fillId="0" borderId="19" xfId="0" applyFill="1" applyBorder="1" applyAlignment="1">
      <alignment/>
    </xf>
    <xf numFmtId="0" fontId="7" fillId="0" borderId="0" xfId="0" applyFont="1" applyFill="1" applyBorder="1" applyAlignment="1">
      <alignment/>
    </xf>
    <xf numFmtId="174" fontId="0" fillId="0" borderId="0" xfId="0" applyNumberFormat="1" applyBorder="1" applyAlignment="1">
      <alignment/>
    </xf>
    <xf numFmtId="0" fontId="50" fillId="0" borderId="0" xfId="0" applyFont="1" applyBorder="1" applyAlignment="1">
      <alignment/>
    </xf>
    <xf numFmtId="0" fontId="0" fillId="0" borderId="16" xfId="0" applyFill="1" applyBorder="1" applyAlignment="1">
      <alignment/>
    </xf>
    <xf numFmtId="0" fontId="7" fillId="0" borderId="17" xfId="0" applyFont="1" applyFill="1" applyBorder="1" applyAlignment="1">
      <alignment/>
    </xf>
    <xf numFmtId="174" fontId="0" fillId="0" borderId="17" xfId="0" applyNumberFormat="1" applyBorder="1" applyAlignment="1">
      <alignment/>
    </xf>
    <xf numFmtId="0" fontId="0" fillId="6" borderId="19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13" xfId="0" applyFill="1" applyBorder="1" applyAlignment="1">
      <alignment/>
    </xf>
    <xf numFmtId="0" fontId="50" fillId="6" borderId="14" xfId="0" applyFont="1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50" fillId="6" borderId="0" xfId="0" applyFont="1" applyFill="1" applyBorder="1" applyAlignment="1">
      <alignment/>
    </xf>
    <xf numFmtId="0" fontId="50" fillId="6" borderId="13" xfId="0" applyFont="1" applyFill="1" applyBorder="1" applyAlignment="1">
      <alignment/>
    </xf>
    <xf numFmtId="0" fontId="50" fillId="6" borderId="15" xfId="0" applyFont="1" applyFill="1" applyBorder="1" applyAlignment="1">
      <alignment/>
    </xf>
    <xf numFmtId="0" fontId="50" fillId="6" borderId="19" xfId="0" applyFont="1" applyFill="1" applyBorder="1" applyAlignment="1">
      <alignment/>
    </xf>
    <xf numFmtId="0" fontId="50" fillId="6" borderId="20" xfId="0" applyFont="1" applyFill="1" applyBorder="1" applyAlignment="1">
      <alignment/>
    </xf>
    <xf numFmtId="0" fontId="50" fillId="6" borderId="0" xfId="0" applyFont="1" applyFill="1" applyBorder="1" applyAlignment="1">
      <alignment vertical="center" wrapText="1"/>
    </xf>
    <xf numFmtId="1" fontId="0" fillId="34" borderId="18" xfId="0" applyNumberFormat="1" applyFill="1" applyBorder="1" applyAlignment="1" applyProtection="1">
      <alignment horizontal="center"/>
      <protection locked="0"/>
    </xf>
    <xf numFmtId="0" fontId="50" fillId="6" borderId="0" xfId="0" applyFont="1" applyFill="1" applyBorder="1" applyAlignment="1">
      <alignment wrapText="1"/>
    </xf>
    <xf numFmtId="0" fontId="0" fillId="0" borderId="0" xfId="0" applyAlignment="1">
      <alignment vertical="center"/>
    </xf>
    <xf numFmtId="16" fontId="0" fillId="6" borderId="14" xfId="0" applyNumberFormat="1" applyFill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 wrapText="1"/>
    </xf>
    <xf numFmtId="1" fontId="0" fillId="0" borderId="0" xfId="0" applyNumberFormat="1" applyBorder="1" applyAlignment="1">
      <alignment/>
    </xf>
    <xf numFmtId="0" fontId="0" fillId="4" borderId="38" xfId="0" applyFill="1" applyBorder="1" applyAlignment="1">
      <alignment vertical="center"/>
    </xf>
    <xf numFmtId="1" fontId="0" fillId="0" borderId="20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6" borderId="43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35" fillId="0" borderId="0" xfId="0" applyFont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 horizontal="center" vertical="center"/>
    </xf>
    <xf numFmtId="1" fontId="0" fillId="13" borderId="14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5" fillId="35" borderId="0" xfId="0" applyFont="1" applyFill="1" applyBorder="1" applyAlignment="1">
      <alignment horizontal="center"/>
    </xf>
    <xf numFmtId="1" fontId="35" fillId="35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1" fontId="0" fillId="13" borderId="0" xfId="0" applyNumberFormat="1" applyFill="1" applyBorder="1" applyAlignment="1">
      <alignment horizontal="right"/>
    </xf>
    <xf numFmtId="0" fontId="55" fillId="0" borderId="0" xfId="0" applyFont="1" applyAlignment="1">
      <alignment wrapText="1"/>
    </xf>
    <xf numFmtId="0" fontId="55" fillId="0" borderId="0" xfId="0" applyFont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56" fillId="6" borderId="11" xfId="0" applyFont="1" applyFill="1" applyBorder="1" applyAlignment="1">
      <alignment horizontal="center"/>
    </xf>
    <xf numFmtId="0" fontId="56" fillId="6" borderId="44" xfId="0" applyFont="1" applyFill="1" applyBorder="1" applyAlignment="1">
      <alignment horizontal="center"/>
    </xf>
    <xf numFmtId="0" fontId="42" fillId="0" borderId="0" xfId="49" applyAlignment="1" applyProtection="1">
      <alignment vertical="center"/>
      <protection/>
    </xf>
    <xf numFmtId="1" fontId="53" fillId="0" borderId="28" xfId="0" applyNumberFormat="1" applyFont="1" applyFill="1" applyBorder="1" applyAlignment="1" applyProtection="1">
      <alignment horizontal="center" vertical="center"/>
      <protection/>
    </xf>
    <xf numFmtId="1" fontId="53" fillId="0" borderId="29" xfId="0" applyNumberFormat="1" applyFont="1" applyFill="1" applyBorder="1" applyAlignment="1" applyProtection="1">
      <alignment horizontal="center" vertical="center"/>
      <protection/>
    </xf>
    <xf numFmtId="1" fontId="53" fillId="0" borderId="45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53" fillId="6" borderId="39" xfId="0" applyFont="1" applyFill="1" applyBorder="1" applyAlignment="1">
      <alignment horizontal="center" vertical="center"/>
    </xf>
    <xf numFmtId="0" fontId="53" fillId="6" borderId="46" xfId="0" applyFont="1" applyFill="1" applyBorder="1" applyAlignment="1">
      <alignment horizontal="center" vertical="center"/>
    </xf>
    <xf numFmtId="0" fontId="53" fillId="6" borderId="47" xfId="0" applyFont="1" applyFill="1" applyBorder="1" applyAlignment="1">
      <alignment horizontal="center" vertical="center"/>
    </xf>
    <xf numFmtId="0" fontId="53" fillId="6" borderId="44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left"/>
    </xf>
    <xf numFmtId="0" fontId="0" fillId="34" borderId="20" xfId="0" applyFill="1" applyBorder="1" applyAlignment="1">
      <alignment horizontal="left"/>
    </xf>
    <xf numFmtId="0" fontId="0" fillId="34" borderId="17" xfId="0" applyFill="1" applyBorder="1" applyAlignment="1">
      <alignment horizontal="left"/>
    </xf>
    <xf numFmtId="0" fontId="0" fillId="34" borderId="18" xfId="0" applyFill="1" applyBorder="1" applyAlignment="1">
      <alignment horizontal="left"/>
    </xf>
    <xf numFmtId="0" fontId="50" fillId="6" borderId="48" xfId="0" applyFont="1" applyFill="1" applyBorder="1" applyAlignment="1">
      <alignment horizontal="center" vertical="center" wrapText="1"/>
    </xf>
    <xf numFmtId="0" fontId="50" fillId="6" borderId="14" xfId="0" applyFont="1" applyFill="1" applyBorder="1" applyAlignment="1">
      <alignment horizontal="center" vertical="center" wrapText="1"/>
    </xf>
    <xf numFmtId="0" fontId="50" fillId="6" borderId="15" xfId="0" applyFont="1" applyFill="1" applyBorder="1" applyAlignment="1">
      <alignment horizontal="center" vertical="center" wrapText="1"/>
    </xf>
    <xf numFmtId="0" fontId="0" fillId="0" borderId="49" xfId="0" applyBorder="1" applyAlignment="1">
      <alignment vertical="center"/>
    </xf>
    <xf numFmtId="0" fontId="50" fillId="6" borderId="13" xfId="0" applyFont="1" applyFill="1" applyBorder="1" applyAlignment="1">
      <alignment horizontal="center" vertical="center" wrapText="1"/>
    </xf>
    <xf numFmtId="0" fontId="50" fillId="6" borderId="50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22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1" xfId="0" applyBorder="1" applyAlignment="1">
      <alignment horizontal="center"/>
    </xf>
    <xf numFmtId="0" fontId="53" fillId="0" borderId="13" xfId="0" applyFont="1" applyBorder="1" applyAlignment="1">
      <alignment vertical="top" wrapText="1"/>
    </xf>
    <xf numFmtId="0" fontId="55" fillId="0" borderId="14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5" fillId="0" borderId="19" xfId="0" applyFont="1" applyBorder="1" applyAlignment="1">
      <alignment vertical="top" wrapText="1"/>
    </xf>
    <xf numFmtId="0" fontId="55" fillId="0" borderId="0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55" fillId="0" borderId="16" xfId="0" applyFont="1" applyBorder="1" applyAlignment="1">
      <alignment vertical="top" wrapText="1"/>
    </xf>
    <xf numFmtId="0" fontId="55" fillId="0" borderId="17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50" fillId="15" borderId="52" xfId="0" applyFont="1" applyFill="1" applyBorder="1" applyAlignment="1">
      <alignment wrapText="1"/>
    </xf>
    <xf numFmtId="0" fontId="50" fillId="15" borderId="36" xfId="0" applyFont="1" applyFill="1" applyBorder="1" applyAlignment="1">
      <alignment wrapText="1"/>
    </xf>
    <xf numFmtId="0" fontId="50" fillId="15" borderId="37" xfId="0" applyFont="1" applyFill="1" applyBorder="1" applyAlignment="1">
      <alignment wrapText="1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190500</xdr:rowOff>
    </xdr:from>
    <xdr:to>
      <xdr:col>8</xdr:col>
      <xdr:colOff>0</xdr:colOff>
      <xdr:row>10</xdr:row>
      <xdr:rowOff>19050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3950"/>
          <a:ext cx="5476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EGES">
      <a:dk1>
        <a:srgbClr val="000000"/>
      </a:dk1>
      <a:lt1>
        <a:sysClr val="window" lastClr="FFFFFF"/>
      </a:lt1>
      <a:dk2>
        <a:srgbClr val="09562C"/>
      </a:dk2>
      <a:lt2>
        <a:srgbClr val="E7E5DB"/>
      </a:lt2>
      <a:accent1>
        <a:srgbClr val="076471"/>
      </a:accent1>
      <a:accent2>
        <a:srgbClr val="C8C7B2"/>
      </a:accent2>
      <a:accent3>
        <a:srgbClr val="9DDCF9"/>
      </a:accent3>
      <a:accent4>
        <a:srgbClr val="7C9877"/>
      </a:accent4>
      <a:accent5>
        <a:srgbClr val="338291"/>
      </a:accent5>
      <a:accent6>
        <a:srgbClr val="E95D0F"/>
      </a:accent6>
      <a:hlink>
        <a:srgbClr val="076471"/>
      </a:hlink>
      <a:folHlink>
        <a:srgbClr val="E95D0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andbrugsinfo.dk/Sider/vilkaar.asp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landbrugsinfo.dk/Planteavl/Filer/N_min_pjece.pdf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tabColor theme="0"/>
    <pageSetUpPr fitToPage="1"/>
  </sheetPr>
  <dimension ref="A3:P22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8.140625" style="0" customWidth="1"/>
  </cols>
  <sheetData>
    <row r="3" spans="1:16" ht="28.5" customHeight="1">
      <c r="A3" s="187" t="s">
        <v>108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12" spans="1:16" ht="36" customHeight="1">
      <c r="A12" s="188" t="s">
        <v>113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</row>
    <row r="14" spans="1:16" ht="15">
      <c r="A14" s="188" t="s">
        <v>109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</row>
    <row r="18" spans="1:5" ht="14.25">
      <c r="A18" s="57" t="s">
        <v>114</v>
      </c>
      <c r="B18" s="59" t="s">
        <v>123</v>
      </c>
      <c r="C18" s="57"/>
      <c r="D18" s="57"/>
      <c r="E18" s="57"/>
    </row>
    <row r="19" spans="1:5" ht="14.25">
      <c r="A19" s="57" t="s">
        <v>115</v>
      </c>
      <c r="B19" s="57" t="s">
        <v>192</v>
      </c>
      <c r="C19" s="57"/>
      <c r="D19" s="57"/>
      <c r="E19" s="57"/>
    </row>
    <row r="20" spans="1:5" ht="14.25">
      <c r="A20" s="57" t="s">
        <v>116</v>
      </c>
      <c r="B20" s="57" t="s">
        <v>147</v>
      </c>
      <c r="C20" s="57"/>
      <c r="D20" s="57"/>
      <c r="E20" s="57"/>
    </row>
    <row r="21" spans="1:5" ht="14.25">
      <c r="A21" s="57" t="s">
        <v>117</v>
      </c>
      <c r="B21" s="58" t="s">
        <v>120</v>
      </c>
      <c r="C21" s="57"/>
      <c r="D21" s="57"/>
      <c r="E21" s="57"/>
    </row>
    <row r="22" spans="1:5" ht="14.25">
      <c r="A22" s="57" t="s">
        <v>118</v>
      </c>
      <c r="B22" s="57" t="s">
        <v>146</v>
      </c>
      <c r="C22" s="57"/>
      <c r="D22" s="57"/>
      <c r="E22" s="57"/>
    </row>
  </sheetData>
  <sheetProtection/>
  <mergeCells count="3">
    <mergeCell ref="A3:P3"/>
    <mergeCell ref="A12:P12"/>
    <mergeCell ref="A14:P14"/>
  </mergeCells>
  <hyperlinks>
    <hyperlink ref="B21" r:id="rId1" display="Vilkår for anvendelse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3"/>
  <headerFooter>
    <oddHeader>&amp;C&amp;"-,Fed"&amp;12Beregning af N-behov på grundlag af N-min&amp;R&amp;"-,Fed"&amp;12Forklaring</oddHeader>
    <oddFooter>&amp;L&amp;Z&amp;F&amp;R&amp;D&amp;T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>
    <tabColor theme="0"/>
    <pageSetUpPr fitToPage="1"/>
  </sheetPr>
  <dimension ref="A1:W81"/>
  <sheetViews>
    <sheetView zoomScale="130" zoomScaleNormal="130" zoomScalePageLayoutView="0" workbookViewId="0" topLeftCell="A4">
      <selection activeCell="E11" sqref="E11"/>
    </sheetView>
  </sheetViews>
  <sheetFormatPr defaultColWidth="9.140625" defaultRowHeight="15"/>
  <cols>
    <col min="1" max="1" width="5.140625" style="0" customWidth="1"/>
    <col min="2" max="2" width="41.7109375" style="0" customWidth="1"/>
    <col min="3" max="4" width="13.421875" style="0" customWidth="1"/>
    <col min="5" max="5" width="9.8515625" style="0" customWidth="1"/>
    <col min="11" max="11" width="17.57421875" style="0" customWidth="1"/>
    <col min="13" max="13" width="14.421875" style="0" customWidth="1"/>
  </cols>
  <sheetData>
    <row r="1" spans="1:11" ht="15.75" thickBot="1">
      <c r="A1" s="159"/>
      <c r="B1" s="155" t="s">
        <v>3</v>
      </c>
      <c r="C1" s="155"/>
      <c r="D1" s="155"/>
      <c r="E1" s="155"/>
      <c r="F1" s="155"/>
      <c r="G1" s="155"/>
      <c r="H1" s="155"/>
      <c r="I1" s="155"/>
      <c r="J1" s="155"/>
      <c r="K1" s="160"/>
    </row>
    <row r="2" spans="1:23" ht="15">
      <c r="A2" s="161"/>
      <c r="B2" s="158"/>
      <c r="C2" s="158"/>
      <c r="D2" s="158"/>
      <c r="E2" s="158"/>
      <c r="F2" s="158"/>
      <c r="G2" s="158"/>
      <c r="H2" s="158"/>
      <c r="I2" s="158"/>
      <c r="J2" s="158"/>
      <c r="K2" s="162"/>
      <c r="O2" s="154" t="s">
        <v>149</v>
      </c>
      <c r="P2" s="156"/>
      <c r="Q2" s="156"/>
      <c r="R2" s="156"/>
      <c r="S2" s="156"/>
      <c r="T2" s="156" t="s">
        <v>150</v>
      </c>
      <c r="U2" s="156"/>
      <c r="V2" s="167">
        <v>44607</v>
      </c>
      <c r="W2" s="157"/>
    </row>
    <row r="3" spans="1:23" ht="180.75" thickBot="1">
      <c r="A3" s="161" t="s">
        <v>32</v>
      </c>
      <c r="B3" s="158"/>
      <c r="C3" s="163" t="s">
        <v>143</v>
      </c>
      <c r="D3" s="163" t="s">
        <v>121</v>
      </c>
      <c r="E3" s="163" t="s">
        <v>65</v>
      </c>
      <c r="F3" s="163" t="s">
        <v>52</v>
      </c>
      <c r="G3" s="163" t="s">
        <v>122</v>
      </c>
      <c r="H3" s="165" t="s">
        <v>139</v>
      </c>
      <c r="I3" s="165" t="s">
        <v>140</v>
      </c>
      <c r="J3" s="165" t="s">
        <v>138</v>
      </c>
      <c r="K3" s="162" t="s">
        <v>144</v>
      </c>
      <c r="O3" s="62"/>
      <c r="P3" s="142"/>
      <c r="Q3" s="142"/>
      <c r="R3" s="142"/>
      <c r="S3" s="142"/>
      <c r="T3" s="189" t="s">
        <v>151</v>
      </c>
      <c r="U3" s="189"/>
      <c r="V3" s="142">
        <v>0.5</v>
      </c>
      <c r="W3" s="69" t="s">
        <v>152</v>
      </c>
    </row>
    <row r="4" spans="1:14" ht="15">
      <c r="A4" s="61">
        <v>1</v>
      </c>
      <c r="B4" s="28" t="s">
        <v>184</v>
      </c>
      <c r="C4" s="25">
        <v>53</v>
      </c>
      <c r="D4" s="141">
        <f>H4+J4+K4+(C4-I4)*E4</f>
        <v>175</v>
      </c>
      <c r="E4" s="25">
        <v>1.5</v>
      </c>
      <c r="F4" s="25">
        <v>45</v>
      </c>
      <c r="G4" s="28" t="s">
        <v>136</v>
      </c>
      <c r="H4">
        <v>137</v>
      </c>
      <c r="I4">
        <v>53</v>
      </c>
      <c r="J4" s="28">
        <v>30</v>
      </c>
      <c r="K4" s="49">
        <v>8</v>
      </c>
      <c r="M4" s="176"/>
      <c r="N4" s="176"/>
    </row>
    <row r="5" spans="1:15" ht="15">
      <c r="A5" s="61">
        <v>2</v>
      </c>
      <c r="B5" s="28" t="s">
        <v>185</v>
      </c>
      <c r="C5" s="25">
        <v>347</v>
      </c>
      <c r="D5" s="141">
        <f>H5+J5+K5+(C5-I5)*E5</f>
        <v>156.2</v>
      </c>
      <c r="E5" s="25">
        <v>0.2</v>
      </c>
      <c r="F5" s="25">
        <v>60</v>
      </c>
      <c r="G5" s="28" t="s">
        <v>136</v>
      </c>
      <c r="H5">
        <v>126</v>
      </c>
      <c r="I5">
        <v>346</v>
      </c>
      <c r="J5" s="28">
        <v>30</v>
      </c>
      <c r="K5" s="49">
        <v>0</v>
      </c>
      <c r="M5" s="56"/>
      <c r="N5" s="56"/>
      <c r="O5" s="176"/>
    </row>
    <row r="6" spans="1:15" ht="15">
      <c r="A6" s="61">
        <v>3</v>
      </c>
      <c r="B6" s="28" t="s">
        <v>187</v>
      </c>
      <c r="C6" s="25">
        <v>10200</v>
      </c>
      <c r="D6" s="141">
        <f>H6+J6+K6+(C6-I6)*E6</f>
        <v>183</v>
      </c>
      <c r="E6" s="25">
        <v>0.015</v>
      </c>
      <c r="F6" s="25">
        <v>60</v>
      </c>
      <c r="G6" s="28" t="s">
        <v>137</v>
      </c>
      <c r="H6">
        <v>153</v>
      </c>
      <c r="I6">
        <v>10200</v>
      </c>
      <c r="J6" s="28">
        <v>30</v>
      </c>
      <c r="K6" s="49">
        <v>0</v>
      </c>
      <c r="M6" s="56"/>
      <c r="N6" s="56"/>
      <c r="O6" s="56"/>
    </row>
    <row r="7" spans="1:15" ht="15">
      <c r="A7" s="61">
        <v>4</v>
      </c>
      <c r="B7" s="28" t="s">
        <v>142</v>
      </c>
      <c r="C7" s="25">
        <v>53</v>
      </c>
      <c r="D7" s="141">
        <f>H7+J7+K7+(C7-I7)*E7</f>
        <v>147</v>
      </c>
      <c r="E7" s="25">
        <v>1.5</v>
      </c>
      <c r="F7" s="25">
        <v>45</v>
      </c>
      <c r="G7" s="28" t="s">
        <v>136</v>
      </c>
      <c r="H7">
        <v>137</v>
      </c>
      <c r="I7">
        <v>53</v>
      </c>
      <c r="J7" s="28">
        <v>30</v>
      </c>
      <c r="K7" s="49">
        <v>-20</v>
      </c>
      <c r="M7" s="56"/>
      <c r="N7" s="56"/>
      <c r="O7" s="56"/>
    </row>
    <row r="8" spans="1:15" ht="15">
      <c r="A8" s="61">
        <v>5</v>
      </c>
      <c r="B8" s="28" t="s">
        <v>188</v>
      </c>
      <c r="C8" s="182">
        <v>657</v>
      </c>
      <c r="D8" s="183">
        <v>155</v>
      </c>
      <c r="E8" s="25">
        <v>0.1</v>
      </c>
      <c r="F8" s="25">
        <v>75</v>
      </c>
      <c r="G8" s="28" t="s">
        <v>136</v>
      </c>
      <c r="H8">
        <v>125</v>
      </c>
      <c r="I8">
        <v>535</v>
      </c>
      <c r="J8" s="184">
        <v>40</v>
      </c>
      <c r="K8" s="49">
        <v>0</v>
      </c>
      <c r="M8" s="56"/>
      <c r="N8" s="56"/>
      <c r="O8" s="56"/>
    </row>
    <row r="9" spans="1:15" ht="15">
      <c r="A9" s="61">
        <v>6</v>
      </c>
      <c r="B9" s="181" t="s">
        <v>189</v>
      </c>
      <c r="C9" s="25">
        <v>60</v>
      </c>
      <c r="D9" s="141">
        <f aca="true" t="shared" si="0" ref="D9:D14">H9+J9+K9+(C9-I9)*E9</f>
        <v>194</v>
      </c>
      <c r="E9" s="25">
        <v>1.2</v>
      </c>
      <c r="F9" s="25">
        <v>55</v>
      </c>
      <c r="G9" s="28" t="s">
        <v>136</v>
      </c>
      <c r="H9">
        <v>161</v>
      </c>
      <c r="I9">
        <v>60</v>
      </c>
      <c r="J9" s="28">
        <v>25</v>
      </c>
      <c r="K9" s="49">
        <v>8</v>
      </c>
      <c r="M9" s="177"/>
      <c r="N9" s="177"/>
      <c r="O9" s="56"/>
    </row>
    <row r="10" spans="1:15" ht="15">
      <c r="A10" s="61">
        <v>7</v>
      </c>
      <c r="B10" s="184" t="s">
        <v>186</v>
      </c>
      <c r="C10" s="25">
        <v>526</v>
      </c>
      <c r="D10" s="141">
        <f t="shared" si="0"/>
        <v>227</v>
      </c>
      <c r="E10" s="25">
        <v>0.2</v>
      </c>
      <c r="F10" s="25">
        <v>55</v>
      </c>
      <c r="G10" s="28" t="s">
        <v>136</v>
      </c>
      <c r="H10">
        <v>202</v>
      </c>
      <c r="I10">
        <v>526</v>
      </c>
      <c r="J10" s="28">
        <v>25</v>
      </c>
      <c r="K10" s="49">
        <v>0</v>
      </c>
      <c r="M10" s="56"/>
      <c r="N10" s="56"/>
      <c r="O10" s="177"/>
    </row>
    <row r="11" spans="1:15" ht="15">
      <c r="A11" s="61">
        <v>8</v>
      </c>
      <c r="B11" s="28" t="s">
        <v>148</v>
      </c>
      <c r="C11" s="25">
        <v>69</v>
      </c>
      <c r="D11" s="141">
        <f t="shared" si="0"/>
        <v>243.3</v>
      </c>
      <c r="E11" s="25">
        <v>1.7</v>
      </c>
      <c r="F11" s="25">
        <v>55</v>
      </c>
      <c r="G11" s="28" t="s">
        <v>136</v>
      </c>
      <c r="H11">
        <v>220</v>
      </c>
      <c r="I11">
        <v>70</v>
      </c>
      <c r="J11" s="28">
        <v>25</v>
      </c>
      <c r="K11" s="49">
        <v>0</v>
      </c>
      <c r="M11" s="56"/>
      <c r="N11" s="56"/>
      <c r="O11" s="56"/>
    </row>
    <row r="12" spans="1:15" ht="15">
      <c r="A12" s="61">
        <v>9</v>
      </c>
      <c r="B12" s="28" t="s">
        <v>190</v>
      </c>
      <c r="C12" s="25">
        <v>69</v>
      </c>
      <c r="D12" s="141">
        <f t="shared" si="0"/>
        <v>212.5</v>
      </c>
      <c r="E12" s="25">
        <v>1.5</v>
      </c>
      <c r="F12" s="25">
        <v>55</v>
      </c>
      <c r="G12" s="28" t="s">
        <v>136</v>
      </c>
      <c r="H12">
        <v>181</v>
      </c>
      <c r="I12">
        <v>70</v>
      </c>
      <c r="J12" s="28">
        <v>25</v>
      </c>
      <c r="K12" s="49">
        <v>8</v>
      </c>
      <c r="M12" s="56"/>
      <c r="N12" s="56"/>
      <c r="O12" s="56"/>
    </row>
    <row r="13" spans="1:15" ht="15">
      <c r="A13" s="61">
        <v>10</v>
      </c>
      <c r="B13" s="28" t="s">
        <v>141</v>
      </c>
      <c r="C13" s="25">
        <v>69</v>
      </c>
      <c r="D13" s="141">
        <f t="shared" si="0"/>
        <v>184.5</v>
      </c>
      <c r="E13" s="25">
        <v>1.5</v>
      </c>
      <c r="F13" s="25">
        <v>55</v>
      </c>
      <c r="G13" s="28" t="s">
        <v>136</v>
      </c>
      <c r="H13">
        <v>181</v>
      </c>
      <c r="I13">
        <v>70</v>
      </c>
      <c r="J13" s="28">
        <v>25</v>
      </c>
      <c r="K13" s="49">
        <v>-20</v>
      </c>
      <c r="M13" s="56"/>
      <c r="N13" s="56"/>
      <c r="O13" s="56"/>
    </row>
    <row r="14" spans="1:15" ht="15.75" thickBot="1">
      <c r="A14" s="148">
        <v>11</v>
      </c>
      <c r="B14" s="142" t="s">
        <v>191</v>
      </c>
      <c r="C14" s="68">
        <v>15</v>
      </c>
      <c r="D14" s="143">
        <f t="shared" si="0"/>
        <v>161</v>
      </c>
      <c r="E14" s="68">
        <v>0</v>
      </c>
      <c r="F14" s="68">
        <v>55</v>
      </c>
      <c r="G14" s="178" t="s">
        <v>136</v>
      </c>
      <c r="H14" s="179">
        <v>161</v>
      </c>
      <c r="I14" s="142"/>
      <c r="J14" s="142"/>
      <c r="K14" s="69">
        <v>0</v>
      </c>
      <c r="M14" s="56"/>
      <c r="N14" s="56"/>
      <c r="O14" s="56"/>
    </row>
    <row r="15" spans="14:15" ht="15.75" thickBot="1">
      <c r="N15" s="56"/>
      <c r="O15" s="56"/>
    </row>
    <row r="16" spans="1:12" ht="15">
      <c r="A16" s="154"/>
      <c r="B16" s="155" t="s">
        <v>42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7"/>
    </row>
    <row r="17" spans="1:12" ht="15">
      <c r="A17" s="151"/>
      <c r="B17" s="152" t="s">
        <v>4</v>
      </c>
      <c r="C17" s="152" t="s">
        <v>15</v>
      </c>
      <c r="D17" s="152">
        <v>1</v>
      </c>
      <c r="E17" s="152">
        <v>2</v>
      </c>
      <c r="F17" s="152">
        <v>3</v>
      </c>
      <c r="G17" s="152">
        <v>4</v>
      </c>
      <c r="H17" s="152"/>
      <c r="I17" s="152"/>
      <c r="J17" s="152"/>
      <c r="K17" s="152"/>
      <c r="L17" s="153"/>
    </row>
    <row r="18" spans="1:12" ht="15">
      <c r="A18" s="144">
        <v>1</v>
      </c>
      <c r="B18" s="145" t="s">
        <v>7</v>
      </c>
      <c r="C18" s="146">
        <v>2</v>
      </c>
      <c r="D18" s="28">
        <v>30</v>
      </c>
      <c r="E18" s="28">
        <v>14</v>
      </c>
      <c r="F18" s="28">
        <v>11</v>
      </c>
      <c r="G18" s="28">
        <v>9</v>
      </c>
      <c r="H18" s="28">
        <v>7</v>
      </c>
      <c r="I18" s="28"/>
      <c r="J18" s="28"/>
      <c r="K18" s="28"/>
      <c r="L18" s="49"/>
    </row>
    <row r="19" spans="1:12" ht="15">
      <c r="A19" s="144">
        <v>2</v>
      </c>
      <c r="B19" s="145" t="s">
        <v>10</v>
      </c>
      <c r="C19" s="146">
        <f>22.8-6.85</f>
        <v>15.950000000000001</v>
      </c>
      <c r="D19" s="28">
        <v>30</v>
      </c>
      <c r="E19" s="28">
        <v>14</v>
      </c>
      <c r="F19" s="28">
        <v>11</v>
      </c>
      <c r="G19" s="28">
        <v>9</v>
      </c>
      <c r="H19" s="28">
        <v>7</v>
      </c>
      <c r="I19" s="28"/>
      <c r="J19" s="28"/>
      <c r="K19" s="28"/>
      <c r="L19" s="49"/>
    </row>
    <row r="20" spans="1:12" ht="15">
      <c r="A20" s="144">
        <v>3</v>
      </c>
      <c r="B20" s="145" t="s">
        <v>119</v>
      </c>
      <c r="C20" s="146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/>
      <c r="J20" s="28"/>
      <c r="K20" s="28"/>
      <c r="L20" s="49"/>
    </row>
    <row r="21" spans="1:12" ht="15">
      <c r="A21" s="144">
        <v>4</v>
      </c>
      <c r="B21" s="145" t="s">
        <v>14</v>
      </c>
      <c r="C21" s="146">
        <v>1.5</v>
      </c>
      <c r="D21" s="28">
        <v>30</v>
      </c>
      <c r="E21" s="28">
        <v>14</v>
      </c>
      <c r="F21" s="28">
        <v>11</v>
      </c>
      <c r="G21" s="28">
        <v>9</v>
      </c>
      <c r="H21" s="28">
        <v>7</v>
      </c>
      <c r="I21" s="28"/>
      <c r="J21" s="147" t="s">
        <v>125</v>
      </c>
      <c r="K21" s="28"/>
      <c r="L21" s="49"/>
    </row>
    <row r="22" spans="1:12" ht="15">
      <c r="A22" s="144">
        <v>5</v>
      </c>
      <c r="B22" s="145" t="s">
        <v>9</v>
      </c>
      <c r="C22" s="146">
        <f>10.16-2.03</f>
        <v>8.13</v>
      </c>
      <c r="D22" s="28">
        <v>30</v>
      </c>
      <c r="E22" s="28">
        <v>14</v>
      </c>
      <c r="F22" s="28">
        <v>11</v>
      </c>
      <c r="G22" s="28">
        <v>9</v>
      </c>
      <c r="H22" s="28">
        <v>7</v>
      </c>
      <c r="I22" s="28"/>
      <c r="J22" s="28" t="s">
        <v>59</v>
      </c>
      <c r="K22" s="28"/>
      <c r="L22" s="49"/>
    </row>
    <row r="23" spans="1:12" ht="15">
      <c r="A23" s="144">
        <v>6</v>
      </c>
      <c r="B23" s="145" t="s">
        <v>183</v>
      </c>
      <c r="C23" s="146">
        <f>6.29-1.57</f>
        <v>4.72</v>
      </c>
      <c r="D23" s="28">
        <v>30</v>
      </c>
      <c r="E23" s="28">
        <v>14</v>
      </c>
      <c r="F23" s="28">
        <v>11</v>
      </c>
      <c r="G23" s="28">
        <v>9</v>
      </c>
      <c r="H23" s="28">
        <v>7</v>
      </c>
      <c r="I23" s="28"/>
      <c r="J23" s="28">
        <f>'Indtastning til N-behov'!B1</f>
        <v>2022</v>
      </c>
      <c r="K23" s="28">
        <v>30</v>
      </c>
      <c r="L23" s="49"/>
    </row>
    <row r="24" spans="1:12" ht="15">
      <c r="A24" s="144">
        <v>7</v>
      </c>
      <c r="B24" s="145" t="s">
        <v>5</v>
      </c>
      <c r="C24" s="146">
        <f>4.68-2.81</f>
        <v>1.8699999999999997</v>
      </c>
      <c r="D24" s="28">
        <v>30</v>
      </c>
      <c r="E24" s="28">
        <v>14</v>
      </c>
      <c r="F24" s="28">
        <v>11</v>
      </c>
      <c r="G24" s="28">
        <v>9</v>
      </c>
      <c r="H24" s="28">
        <v>7</v>
      </c>
      <c r="I24" s="28"/>
      <c r="J24" s="28">
        <f>J23-1</f>
        <v>2021</v>
      </c>
      <c r="K24" s="28">
        <v>14</v>
      </c>
      <c r="L24" s="49"/>
    </row>
    <row r="25" spans="1:12" ht="15">
      <c r="A25" s="144">
        <v>8</v>
      </c>
      <c r="B25" s="145" t="s">
        <v>12</v>
      </c>
      <c r="C25" s="146">
        <v>8.2</v>
      </c>
      <c r="D25" s="28">
        <v>90</v>
      </c>
      <c r="E25" s="28">
        <v>3</v>
      </c>
      <c r="F25" s="28">
        <v>2</v>
      </c>
      <c r="G25" s="28">
        <v>1</v>
      </c>
      <c r="H25" s="28">
        <v>1</v>
      </c>
      <c r="I25" s="28"/>
      <c r="J25" s="28">
        <f>J24-1</f>
        <v>2020</v>
      </c>
      <c r="K25" s="28">
        <v>11</v>
      </c>
      <c r="L25" s="49"/>
    </row>
    <row r="26" spans="1:12" ht="15">
      <c r="A26" s="144">
        <v>9</v>
      </c>
      <c r="B26" s="145" t="s">
        <v>13</v>
      </c>
      <c r="C26" s="146">
        <v>8</v>
      </c>
      <c r="D26" s="28">
        <v>30</v>
      </c>
      <c r="E26" s="28">
        <v>14</v>
      </c>
      <c r="F26" s="28">
        <v>11</v>
      </c>
      <c r="G26" s="28">
        <v>9</v>
      </c>
      <c r="H26" s="28">
        <v>7</v>
      </c>
      <c r="I26" s="28"/>
      <c r="J26" s="28">
        <f>J25-1</f>
        <v>2019</v>
      </c>
      <c r="K26" s="28">
        <v>9</v>
      </c>
      <c r="L26" s="49"/>
    </row>
    <row r="27" spans="1:12" ht="15">
      <c r="A27" s="144">
        <v>10</v>
      </c>
      <c r="B27" s="145" t="s">
        <v>8</v>
      </c>
      <c r="C27" s="146">
        <f>11.27-2.82</f>
        <v>8.45</v>
      </c>
      <c r="D27" s="28">
        <v>30</v>
      </c>
      <c r="E27" s="28">
        <v>14</v>
      </c>
      <c r="F27" s="28">
        <v>11</v>
      </c>
      <c r="G27" s="28">
        <v>9</v>
      </c>
      <c r="H27" s="28">
        <v>7</v>
      </c>
      <c r="I27" s="28"/>
      <c r="J27" s="28">
        <f>J26-1</f>
        <v>2018</v>
      </c>
      <c r="K27" s="28">
        <v>7</v>
      </c>
      <c r="L27" s="49"/>
    </row>
    <row r="28" spans="1:12" ht="15">
      <c r="A28" s="144">
        <v>11</v>
      </c>
      <c r="B28" s="145" t="s">
        <v>11</v>
      </c>
      <c r="C28" s="146">
        <f>9.14-3.2</f>
        <v>5.94</v>
      </c>
      <c r="D28" s="28">
        <v>30</v>
      </c>
      <c r="E28" s="28">
        <v>14</v>
      </c>
      <c r="F28" s="28">
        <v>11</v>
      </c>
      <c r="G28" s="28">
        <v>9</v>
      </c>
      <c r="H28" s="28">
        <v>7</v>
      </c>
      <c r="I28" s="28"/>
      <c r="J28" s="28"/>
      <c r="K28" s="28"/>
      <c r="L28" s="49"/>
    </row>
    <row r="29" spans="1:12" ht="15.75" thickBot="1">
      <c r="A29" s="148">
        <v>12</v>
      </c>
      <c r="B29" s="149" t="s">
        <v>6</v>
      </c>
      <c r="C29" s="150">
        <f>4.81-3.61</f>
        <v>1.1999999999999997</v>
      </c>
      <c r="D29" s="142">
        <v>30</v>
      </c>
      <c r="E29" s="142">
        <v>14</v>
      </c>
      <c r="F29" s="142">
        <v>11</v>
      </c>
      <c r="G29" s="142">
        <v>9</v>
      </c>
      <c r="H29" s="142">
        <v>7</v>
      </c>
      <c r="I29" s="142"/>
      <c r="J29" s="142"/>
      <c r="K29" s="142"/>
      <c r="L29" s="69"/>
    </row>
    <row r="30" ht="15">
      <c r="C30" s="1"/>
    </row>
    <row r="31" ht="15.75" thickBot="1">
      <c r="C31" s="1"/>
    </row>
    <row r="32" spans="1:4" ht="15">
      <c r="A32" s="154"/>
      <c r="B32" s="156" t="s">
        <v>41</v>
      </c>
      <c r="C32" s="156"/>
      <c r="D32" s="157"/>
    </row>
    <row r="33" spans="1:4" ht="14.25">
      <c r="A33" s="151"/>
      <c r="B33" s="158" t="s">
        <v>40</v>
      </c>
      <c r="C33" s="152"/>
      <c r="D33" s="153"/>
    </row>
    <row r="34" spans="1:4" ht="14.25">
      <c r="A34" s="151"/>
      <c r="B34" s="152"/>
      <c r="C34" s="158" t="s">
        <v>37</v>
      </c>
      <c r="D34" s="162" t="s">
        <v>31</v>
      </c>
    </row>
    <row r="35" spans="1:4" ht="14.25">
      <c r="A35" s="61">
        <v>1</v>
      </c>
      <c r="B35" s="28" t="s">
        <v>172</v>
      </c>
      <c r="C35" s="170">
        <f>C36*0.7</f>
        <v>52.5</v>
      </c>
      <c r="D35" s="49">
        <v>0</v>
      </c>
    </row>
    <row r="36" spans="1:4" ht="14.25">
      <c r="A36" s="61">
        <v>2</v>
      </c>
      <c r="B36" s="28" t="s">
        <v>173</v>
      </c>
      <c r="C36" s="28">
        <v>75</v>
      </c>
      <c r="D36" s="49">
        <v>0</v>
      </c>
    </row>
    <row r="37" spans="1:4" ht="14.25">
      <c r="A37" s="61">
        <v>3</v>
      </c>
      <c r="B37" s="28" t="s">
        <v>174</v>
      </c>
      <c r="C37" s="28">
        <f>C38*0.7</f>
        <v>35</v>
      </c>
      <c r="D37" s="49"/>
    </row>
    <row r="38" spans="1:4" ht="14.25">
      <c r="A38" s="61">
        <v>4</v>
      </c>
      <c r="B38" s="28" t="s">
        <v>175</v>
      </c>
      <c r="C38" s="28">
        <v>50</v>
      </c>
      <c r="D38" s="49"/>
    </row>
    <row r="39" spans="1:4" ht="14.25">
      <c r="A39" s="61">
        <v>5</v>
      </c>
      <c r="B39" s="28" t="s">
        <v>176</v>
      </c>
      <c r="C39" s="28">
        <f>C40*0.7</f>
        <v>21</v>
      </c>
      <c r="D39" s="49"/>
    </row>
    <row r="40" spans="1:4" ht="14.25">
      <c r="A40" s="61">
        <v>6</v>
      </c>
      <c r="B40" s="28" t="s">
        <v>177</v>
      </c>
      <c r="C40" s="28">
        <v>30</v>
      </c>
      <c r="D40" s="49"/>
    </row>
    <row r="41" spans="1:4" ht="14.25">
      <c r="A41" s="61">
        <v>7</v>
      </c>
      <c r="B41" s="28" t="s">
        <v>18</v>
      </c>
      <c r="C41" s="28">
        <v>115</v>
      </c>
      <c r="D41" s="49"/>
    </row>
    <row r="42" spans="1:4" ht="14.25">
      <c r="A42" s="61">
        <v>8</v>
      </c>
      <c r="B42" s="28" t="s">
        <v>16</v>
      </c>
      <c r="C42" s="28">
        <v>20</v>
      </c>
      <c r="D42" s="49">
        <v>35</v>
      </c>
    </row>
    <row r="43" spans="1:4" ht="14.25">
      <c r="A43" s="61">
        <v>9</v>
      </c>
      <c r="B43" s="28" t="s">
        <v>17</v>
      </c>
      <c r="C43" s="28">
        <v>40</v>
      </c>
      <c r="D43" s="49">
        <v>35</v>
      </c>
    </row>
    <row r="44" spans="1:4" ht="14.25">
      <c r="A44" s="61">
        <v>10</v>
      </c>
      <c r="B44" s="28" t="s">
        <v>20</v>
      </c>
      <c r="C44" s="28">
        <v>90</v>
      </c>
      <c r="D44" s="49"/>
    </row>
    <row r="45" spans="1:4" ht="14.25">
      <c r="A45" s="61">
        <v>11</v>
      </c>
      <c r="B45" s="28" t="s">
        <v>22</v>
      </c>
      <c r="C45" s="28">
        <v>160</v>
      </c>
      <c r="D45" s="49"/>
    </row>
    <row r="46" spans="1:4" ht="14.25">
      <c r="A46" s="61">
        <v>12</v>
      </c>
      <c r="B46" s="28" t="s">
        <v>24</v>
      </c>
      <c r="C46" s="28">
        <v>40</v>
      </c>
      <c r="D46" s="49"/>
    </row>
    <row r="47" spans="1:4" ht="14.25">
      <c r="A47" s="61">
        <v>13</v>
      </c>
      <c r="B47" s="28" t="s">
        <v>19</v>
      </c>
      <c r="C47" s="28">
        <v>160</v>
      </c>
      <c r="D47" s="49">
        <v>60</v>
      </c>
    </row>
    <row r="48" spans="1:4" ht="14.25">
      <c r="A48" s="61">
        <v>14</v>
      </c>
      <c r="B48" s="28" t="s">
        <v>21</v>
      </c>
      <c r="C48" s="28">
        <v>160</v>
      </c>
      <c r="D48" s="49"/>
    </row>
    <row r="49" spans="1:4" ht="14.25">
      <c r="A49" s="61">
        <v>15</v>
      </c>
      <c r="B49" s="28" t="s">
        <v>1</v>
      </c>
      <c r="C49" s="28">
        <v>0</v>
      </c>
      <c r="D49" s="49"/>
    </row>
    <row r="50" spans="1:4" ht="14.25">
      <c r="A50" s="61">
        <v>16</v>
      </c>
      <c r="B50" s="28" t="s">
        <v>2</v>
      </c>
      <c r="C50" s="28">
        <v>0</v>
      </c>
      <c r="D50" s="49"/>
    </row>
    <row r="51" spans="1:4" ht="14.25">
      <c r="A51" s="61">
        <v>17</v>
      </c>
      <c r="B51" s="28" t="s">
        <v>55</v>
      </c>
      <c r="C51" s="28">
        <v>0</v>
      </c>
      <c r="D51" s="49"/>
    </row>
    <row r="52" spans="1:4" ht="14.25">
      <c r="A52" s="61">
        <v>18</v>
      </c>
      <c r="B52" s="28" t="s">
        <v>23</v>
      </c>
      <c r="C52" s="28">
        <v>100</v>
      </c>
      <c r="D52" s="49">
        <v>50</v>
      </c>
    </row>
    <row r="53" spans="1:4" ht="14.25">
      <c r="A53" s="61">
        <v>19</v>
      </c>
      <c r="B53" s="28" t="s">
        <v>56</v>
      </c>
      <c r="C53" s="28">
        <v>0</v>
      </c>
      <c r="D53" s="49"/>
    </row>
    <row r="54" spans="1:4" ht="14.25">
      <c r="A54" s="61">
        <v>20</v>
      </c>
      <c r="B54" s="28" t="s">
        <v>110</v>
      </c>
      <c r="C54" s="28">
        <v>55</v>
      </c>
      <c r="D54" s="49"/>
    </row>
    <row r="55" spans="1:4" ht="14.25">
      <c r="A55" s="61">
        <v>21</v>
      </c>
      <c r="B55" s="28" t="s">
        <v>111</v>
      </c>
      <c r="C55" s="28">
        <v>30</v>
      </c>
      <c r="D55" s="49"/>
    </row>
    <row r="56" spans="1:4" ht="15" thickBot="1">
      <c r="A56" s="62">
        <v>22</v>
      </c>
      <c r="B56" s="142" t="s">
        <v>112</v>
      </c>
      <c r="C56" s="142">
        <v>70</v>
      </c>
      <c r="D56" s="69"/>
    </row>
    <row r="58" ht="15" thickBot="1"/>
    <row r="59" spans="1:6" ht="14.25">
      <c r="A59" s="154"/>
      <c r="B59" s="156" t="s">
        <v>153</v>
      </c>
      <c r="C59" s="156"/>
      <c r="D59" s="156"/>
      <c r="E59" s="156"/>
      <c r="F59" s="157"/>
    </row>
    <row r="60" spans="1:6" ht="14.25">
      <c r="A60" s="151"/>
      <c r="B60" s="158" t="s">
        <v>154</v>
      </c>
      <c r="C60" s="152" t="s">
        <v>155</v>
      </c>
      <c r="D60" s="152" t="s">
        <v>156</v>
      </c>
      <c r="E60" s="152" t="s">
        <v>157</v>
      </c>
      <c r="F60" s="153"/>
    </row>
    <row r="61" spans="1:6" ht="14.25">
      <c r="A61" s="61">
        <v>1</v>
      </c>
      <c r="B61" s="28" t="s">
        <v>158</v>
      </c>
      <c r="C61" s="170">
        <f>(D61-E61)/0.45</f>
        <v>-17.77777777777778</v>
      </c>
      <c r="D61" s="28">
        <v>-10</v>
      </c>
      <c r="E61" s="28">
        <f>D61*0.2</f>
        <v>-2</v>
      </c>
      <c r="F61" s="49"/>
    </row>
    <row r="62" spans="1:6" ht="14.25">
      <c r="A62" s="61">
        <v>2</v>
      </c>
      <c r="B62" s="28" t="s">
        <v>159</v>
      </c>
      <c r="C62" s="170">
        <f>(D62-E62)/0.45</f>
        <v>0</v>
      </c>
      <c r="D62" s="28">
        <v>0</v>
      </c>
      <c r="E62" s="28">
        <f>D62*0.2</f>
        <v>0</v>
      </c>
      <c r="F62" s="49"/>
    </row>
    <row r="63" spans="1:6" ht="14.25">
      <c r="A63" s="61">
        <v>3</v>
      </c>
      <c r="B63" s="28" t="s">
        <v>160</v>
      </c>
      <c r="C63" s="170">
        <f>(D63-E63)/0.45</f>
        <v>17.77777777777778</v>
      </c>
      <c r="D63" s="28">
        <v>10</v>
      </c>
      <c r="E63" s="28">
        <f>D63*0.2</f>
        <v>2</v>
      </c>
      <c r="F63" s="49"/>
    </row>
    <row r="64" spans="1:6" ht="14.25">
      <c r="A64" s="61">
        <v>4</v>
      </c>
      <c r="B64" s="28" t="s">
        <v>161</v>
      </c>
      <c r="C64" s="170">
        <f>(D64-E64)/0.45</f>
        <v>35.55555555555556</v>
      </c>
      <c r="D64" s="28">
        <v>20</v>
      </c>
      <c r="E64" s="28">
        <f>D64*0.2</f>
        <v>4</v>
      </c>
      <c r="F64" s="49"/>
    </row>
    <row r="65" spans="1:6" ht="14.25">
      <c r="A65" s="61">
        <v>5</v>
      </c>
      <c r="B65" s="28" t="s">
        <v>162</v>
      </c>
      <c r="C65" s="170">
        <f>(D65-E65)/0.45</f>
        <v>71.11111111111111</v>
      </c>
      <c r="D65" s="28">
        <v>40</v>
      </c>
      <c r="E65" s="28">
        <f>D65*0.2</f>
        <v>8</v>
      </c>
      <c r="F65" s="49"/>
    </row>
    <row r="66" spans="1:6" ht="14.25">
      <c r="A66" s="61"/>
      <c r="B66" s="28"/>
      <c r="C66" s="28"/>
      <c r="D66" s="28"/>
      <c r="E66" s="28"/>
      <c r="F66" s="49"/>
    </row>
    <row r="67" spans="1:6" ht="14.25">
      <c r="A67" s="61"/>
      <c r="B67" s="28"/>
      <c r="C67" s="28"/>
      <c r="D67" s="28"/>
      <c r="E67" s="28"/>
      <c r="F67" s="49"/>
    </row>
    <row r="68" spans="1:6" ht="14.25">
      <c r="A68" s="61"/>
      <c r="B68" s="28" t="s">
        <v>163</v>
      </c>
      <c r="C68" s="28">
        <v>75</v>
      </c>
      <c r="D68" s="28" t="s">
        <v>164</v>
      </c>
      <c r="E68" s="28"/>
      <c r="F68" s="49"/>
    </row>
    <row r="69" spans="1:6" ht="14.25">
      <c r="A69" s="61"/>
      <c r="B69" s="28" t="s">
        <v>165</v>
      </c>
      <c r="C69" s="28">
        <v>30</v>
      </c>
      <c r="D69" s="28" t="s">
        <v>166</v>
      </c>
      <c r="E69" s="28"/>
      <c r="F69" s="49"/>
    </row>
    <row r="70" spans="1:6" ht="14.25">
      <c r="A70" s="61"/>
      <c r="B70" s="28" t="s">
        <v>167</v>
      </c>
      <c r="C70" s="28">
        <f>C69*(100-C68)/100</f>
        <v>7.5</v>
      </c>
      <c r="D70" s="28"/>
      <c r="E70" s="28"/>
      <c r="F70" s="49"/>
    </row>
    <row r="71" spans="1:6" ht="14.25">
      <c r="A71" s="61"/>
      <c r="B71" s="28" t="s">
        <v>168</v>
      </c>
      <c r="C71" s="28">
        <f>C70/40*100</f>
        <v>18.75</v>
      </c>
      <c r="D71" s="28"/>
      <c r="E71" s="28"/>
      <c r="F71" s="49"/>
    </row>
    <row r="72" spans="1:6" ht="14.25">
      <c r="A72" s="61"/>
      <c r="B72" s="28" t="s">
        <v>169</v>
      </c>
      <c r="C72" s="28">
        <v>20</v>
      </c>
      <c r="D72" s="28" t="s">
        <v>164</v>
      </c>
      <c r="E72" s="28"/>
      <c r="F72" s="49"/>
    </row>
    <row r="73" spans="1:6" ht="14.25">
      <c r="A73" s="61"/>
      <c r="B73" s="28"/>
      <c r="C73" s="28"/>
      <c r="D73" s="28"/>
      <c r="E73" s="28"/>
      <c r="F73" s="49"/>
    </row>
    <row r="74" spans="1:6" ht="14.25">
      <c r="A74" s="61"/>
      <c r="B74" s="28"/>
      <c r="C74" s="28"/>
      <c r="D74" s="28"/>
      <c r="E74" s="28"/>
      <c r="F74" s="49"/>
    </row>
    <row r="75" spans="1:6" ht="14.25">
      <c r="A75" s="61"/>
      <c r="B75" s="147" t="s">
        <v>154</v>
      </c>
      <c r="C75" s="28" t="s">
        <v>155</v>
      </c>
      <c r="D75" s="28"/>
      <c r="E75" s="28"/>
      <c r="F75" s="49"/>
    </row>
    <row r="76" spans="1:6" ht="14.25">
      <c r="A76" s="61"/>
      <c r="B76" s="28" t="s">
        <v>158</v>
      </c>
      <c r="C76" s="170">
        <v>-17.77777777777778</v>
      </c>
      <c r="D76" s="28"/>
      <c r="E76" s="28"/>
      <c r="F76" s="49"/>
    </row>
    <row r="77" spans="1:6" ht="14.25">
      <c r="A77" s="61"/>
      <c r="B77" s="28" t="s">
        <v>161</v>
      </c>
      <c r="C77" s="170">
        <v>35.55555555555556</v>
      </c>
      <c r="D77" s="28"/>
      <c r="E77" s="28"/>
      <c r="F77" s="49"/>
    </row>
    <row r="78" spans="1:6" ht="14.25">
      <c r="A78" s="61"/>
      <c r="B78" s="28" t="s">
        <v>162</v>
      </c>
      <c r="C78" s="170">
        <v>71.11111111111111</v>
      </c>
      <c r="D78" s="28"/>
      <c r="E78" s="28"/>
      <c r="F78" s="49"/>
    </row>
    <row r="79" spans="1:6" ht="14.25">
      <c r="A79" s="61"/>
      <c r="B79" s="28" t="s">
        <v>159</v>
      </c>
      <c r="C79" s="170">
        <v>0</v>
      </c>
      <c r="D79" s="28"/>
      <c r="E79" s="28"/>
      <c r="F79" s="49"/>
    </row>
    <row r="80" spans="1:6" ht="14.25">
      <c r="A80" s="61"/>
      <c r="B80" s="28" t="s">
        <v>160</v>
      </c>
      <c r="C80" s="170">
        <v>17.77777777777778</v>
      </c>
      <c r="D80" s="28"/>
      <c r="E80" s="28"/>
      <c r="F80" s="49"/>
    </row>
    <row r="81" spans="1:6" ht="15" thickBot="1">
      <c r="A81" s="62"/>
      <c r="B81" s="142"/>
      <c r="C81" s="142"/>
      <c r="D81" s="142"/>
      <c r="E81" s="142"/>
      <c r="F81" s="69"/>
    </row>
  </sheetData>
  <sheetProtection/>
  <mergeCells count="1">
    <mergeCell ref="T3:U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>
    <tabColor theme="3"/>
    <pageSetUpPr fitToPage="1"/>
  </sheetPr>
  <dimension ref="A1:AD19"/>
  <sheetViews>
    <sheetView tabSelected="1" zoomScale="90" zoomScaleNormal="90" zoomScalePageLayoutView="0" workbookViewId="0" topLeftCell="A1">
      <selection activeCell="B4" sqref="B4"/>
    </sheetView>
  </sheetViews>
  <sheetFormatPr defaultColWidth="9.140625" defaultRowHeight="15"/>
  <cols>
    <col min="1" max="2" width="8.8515625" style="0" customWidth="1"/>
    <col min="3" max="3" width="11.421875" style="0" bestFit="1" customWidth="1"/>
    <col min="4" max="4" width="17.57421875" style="0" bestFit="1" customWidth="1"/>
    <col min="5" max="8" width="12.57421875" style="0" customWidth="1"/>
    <col min="9" max="12" width="10.57421875" style="0" customWidth="1"/>
    <col min="13" max="13" width="10.57421875" style="0" hidden="1" customWidth="1"/>
    <col min="14" max="15" width="0" style="0" hidden="1" customWidth="1"/>
  </cols>
  <sheetData>
    <row r="1" spans="1:12" ht="16.5">
      <c r="A1" s="190" t="s">
        <v>132</v>
      </c>
      <c r="B1" s="190"/>
      <c r="C1" s="190"/>
      <c r="D1" s="190"/>
      <c r="E1" s="190"/>
      <c r="F1" s="190"/>
      <c r="G1" s="190"/>
      <c r="H1" s="191"/>
      <c r="I1" s="116" t="s">
        <v>84</v>
      </c>
      <c r="J1" s="117"/>
      <c r="K1" s="116" t="s">
        <v>69</v>
      </c>
      <c r="L1" s="118"/>
    </row>
    <row r="2" spans="1:12" ht="17.25" customHeight="1">
      <c r="A2" s="119" t="s">
        <v>70</v>
      </c>
      <c r="B2" s="120" t="s">
        <v>71</v>
      </c>
      <c r="C2" s="120"/>
      <c r="D2" s="120"/>
      <c r="E2" s="201" t="s">
        <v>72</v>
      </c>
      <c r="F2" s="202"/>
      <c r="G2" s="201" t="s">
        <v>85</v>
      </c>
      <c r="H2" s="202"/>
      <c r="I2" s="120" t="s">
        <v>73</v>
      </c>
      <c r="J2" s="121"/>
      <c r="K2" s="120" t="s">
        <v>73</v>
      </c>
      <c r="L2" s="121"/>
    </row>
    <row r="3" spans="1:12" ht="16.5" thickBot="1">
      <c r="A3" s="119" t="s">
        <v>32</v>
      </c>
      <c r="B3" s="122" t="s">
        <v>74</v>
      </c>
      <c r="C3" s="122" t="s">
        <v>75</v>
      </c>
      <c r="D3" s="122" t="s">
        <v>76</v>
      </c>
      <c r="E3" s="203"/>
      <c r="F3" s="204"/>
      <c r="G3" s="203"/>
      <c r="H3" s="204"/>
      <c r="I3" s="123" t="s">
        <v>77</v>
      </c>
      <c r="J3" s="124"/>
      <c r="K3" s="123" t="s">
        <v>77</v>
      </c>
      <c r="L3" s="124"/>
    </row>
    <row r="4" spans="1:12" ht="32.25" customHeight="1" thickBot="1">
      <c r="A4" s="135">
        <v>1</v>
      </c>
      <c r="B4" s="103"/>
      <c r="C4" s="103"/>
      <c r="D4" s="104">
        <f>SUM(B4:C4)</f>
        <v>0</v>
      </c>
      <c r="E4" s="12"/>
      <c r="F4" s="12"/>
      <c r="G4" s="12"/>
      <c r="H4" s="12"/>
      <c r="I4" s="193">
        <f>IF(Opslagstabeller!H6&gt;0,D4*Opslagstabeller!H6,"Kan ikke beregnes")</f>
        <v>0</v>
      </c>
      <c r="J4" s="194"/>
      <c r="K4" s="193">
        <f>IF(Opslagstabeller!H15&gt;0,D4*Opslagstabeller!H15,"Kan ikke beregnes")</f>
        <v>0</v>
      </c>
      <c r="L4" s="195"/>
    </row>
    <row r="5" spans="1:12" ht="32.25" customHeight="1">
      <c r="A5" s="196" t="s">
        <v>86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</row>
    <row r="6" spans="1:15" ht="14.25">
      <c r="A6" s="198" t="s">
        <v>87</v>
      </c>
      <c r="B6" s="199"/>
      <c r="C6" s="199"/>
      <c r="D6" s="199"/>
      <c r="E6" s="199"/>
      <c r="F6" s="199"/>
      <c r="G6" s="199"/>
      <c r="H6" s="199"/>
      <c r="I6" s="199"/>
      <c r="J6" s="199"/>
      <c r="K6" s="200"/>
      <c r="L6" s="200"/>
      <c r="N6" s="13">
        <v>4</v>
      </c>
      <c r="O6" s="13">
        <v>3</v>
      </c>
    </row>
    <row r="7" spans="1:30" ht="17.25" customHeight="1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200"/>
      <c r="L7" s="200"/>
      <c r="AD7">
        <v>5</v>
      </c>
    </row>
    <row r="8" spans="1:12" ht="15" customHeight="1" hidden="1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200"/>
      <c r="L8" s="200"/>
    </row>
    <row r="9" spans="1:12" ht="15" customHeight="1" hidden="1">
      <c r="A9" s="199"/>
      <c r="B9" s="199"/>
      <c r="C9" s="199"/>
      <c r="D9" s="199"/>
      <c r="E9" s="199"/>
      <c r="F9" s="199"/>
      <c r="G9" s="199"/>
      <c r="H9" s="199"/>
      <c r="I9" s="199"/>
      <c r="J9" s="199"/>
      <c r="K9" s="200"/>
      <c r="L9" s="200"/>
    </row>
    <row r="10" spans="1:10" ht="14.25">
      <c r="A10" s="192" t="s">
        <v>104</v>
      </c>
      <c r="B10" s="192"/>
      <c r="C10" s="192"/>
      <c r="D10" s="192"/>
      <c r="E10" s="192"/>
      <c r="F10" s="192"/>
      <c r="G10" s="192"/>
      <c r="H10" s="192"/>
      <c r="I10" s="192"/>
      <c r="J10" s="192"/>
    </row>
    <row r="11" spans="1:10" ht="16.5">
      <c r="A11" s="14" t="s">
        <v>88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6.5" thickBot="1">
      <c r="A12" s="15" t="s">
        <v>89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4.25">
      <c r="A13" s="125" t="s">
        <v>69</v>
      </c>
      <c r="B13" s="126"/>
      <c r="C13" s="3"/>
      <c r="D13" s="3"/>
      <c r="E13" s="3"/>
      <c r="F13" s="3"/>
      <c r="G13" s="3"/>
      <c r="H13" s="3"/>
      <c r="I13" s="3"/>
      <c r="J13" s="3"/>
    </row>
    <row r="14" spans="1:10" ht="14.25">
      <c r="A14" s="127" t="s">
        <v>78</v>
      </c>
      <c r="B14" s="128" t="s">
        <v>79</v>
      </c>
      <c r="C14" s="3"/>
      <c r="D14" s="3"/>
      <c r="E14" s="3"/>
      <c r="F14" s="3"/>
      <c r="G14" s="3"/>
      <c r="H14" s="3"/>
      <c r="I14" s="3"/>
      <c r="J14" s="3"/>
    </row>
    <row r="15" spans="1:10" ht="14.25">
      <c r="A15" s="129" t="s">
        <v>80</v>
      </c>
      <c r="B15" s="130">
        <v>1.4</v>
      </c>
      <c r="C15" s="3"/>
      <c r="D15" s="3"/>
      <c r="E15" s="3"/>
      <c r="F15" s="3"/>
      <c r="G15" s="3"/>
      <c r="H15" s="3"/>
      <c r="I15" s="3"/>
      <c r="J15" s="3"/>
    </row>
    <row r="16" spans="1:2" ht="14.25">
      <c r="A16" s="129" t="s">
        <v>81</v>
      </c>
      <c r="B16" s="131">
        <v>1.4</v>
      </c>
    </row>
    <row r="17" spans="1:2" ht="14.25">
      <c r="A17" s="129" t="s">
        <v>82</v>
      </c>
      <c r="B17" s="131">
        <v>1.52</v>
      </c>
    </row>
    <row r="18" spans="1:12" ht="14.25">
      <c r="A18" s="129" t="s">
        <v>83</v>
      </c>
      <c r="B18" s="131">
        <v>1.52</v>
      </c>
      <c r="C18" s="8"/>
      <c r="D18" s="8"/>
      <c r="E18" s="8"/>
      <c r="F18" s="8"/>
      <c r="G18" s="8"/>
      <c r="H18" s="8"/>
      <c r="I18" s="8"/>
      <c r="J18" s="8"/>
      <c r="K18" s="8"/>
      <c r="L18" s="8"/>
    </row>
    <row r="19" ht="18">
      <c r="D19" s="9"/>
    </row>
  </sheetData>
  <sheetProtection/>
  <mergeCells count="8">
    <mergeCell ref="A1:H1"/>
    <mergeCell ref="A10:J10"/>
    <mergeCell ref="I4:J4"/>
    <mergeCell ref="K4:L4"/>
    <mergeCell ref="A5:L5"/>
    <mergeCell ref="A6:L9"/>
    <mergeCell ref="E2:F3"/>
    <mergeCell ref="G2:H3"/>
  </mergeCells>
  <hyperlinks>
    <hyperlink ref="A10:J10" r:id="rId1" display="N-min pjecen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3"/>
  <headerFooter>
    <oddHeader>&amp;C&amp;"-,Fed"&amp;12Beregning af N-min fra analyseværdier</oddHeader>
    <oddFooter>&amp;L&amp;Z&amp;F&amp;R&amp;D&amp;T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>
    <tabColor theme="4"/>
    <pageSetUpPr fitToPage="1"/>
  </sheetPr>
  <dimension ref="A1:R46"/>
  <sheetViews>
    <sheetView zoomScaleSheetLayoutView="80" zoomScalePageLayoutView="0" workbookViewId="0" topLeftCell="A8">
      <selection activeCell="B18" sqref="B18"/>
    </sheetView>
  </sheetViews>
  <sheetFormatPr defaultColWidth="9.140625" defaultRowHeight="15"/>
  <cols>
    <col min="1" max="1" width="29.8515625" style="0" customWidth="1"/>
    <col min="2" max="2" width="32.8515625" style="0" customWidth="1"/>
    <col min="3" max="3" width="15.421875" style="0" bestFit="1" customWidth="1"/>
    <col min="4" max="4" width="24.57421875" style="0" customWidth="1"/>
    <col min="5" max="5" width="34.140625" style="0" customWidth="1"/>
    <col min="6" max="6" width="8.00390625" style="0" bestFit="1" customWidth="1"/>
    <col min="7" max="7" width="7.421875" style="0" customWidth="1"/>
    <col min="8" max="8" width="9.140625" style="0" customWidth="1"/>
    <col min="9" max="9" width="12.57421875" style="0" customWidth="1"/>
    <col min="10" max="11" width="14.421875" style="0" customWidth="1"/>
    <col min="12" max="12" width="12.421875" style="0" customWidth="1"/>
    <col min="13" max="13" width="14.57421875" style="0" customWidth="1"/>
    <col min="14" max="14" width="13.421875" style="0" customWidth="1"/>
    <col min="15" max="15" width="16.00390625" style="0" customWidth="1"/>
  </cols>
  <sheetData>
    <row r="1" spans="1:4" ht="15.75">
      <c r="A1" s="105" t="s">
        <v>59</v>
      </c>
      <c r="B1" s="106">
        <v>2022</v>
      </c>
      <c r="C1" s="212"/>
      <c r="D1" s="197"/>
    </row>
    <row r="2" ht="15">
      <c r="A2" s="81" t="s">
        <v>130</v>
      </c>
    </row>
    <row r="3" ht="15">
      <c r="A3" s="5"/>
    </row>
    <row r="4" ht="15.75" thickBot="1">
      <c r="A4" s="5"/>
    </row>
    <row r="5" spans="1:7" ht="15">
      <c r="A5" s="60" t="s">
        <v>25</v>
      </c>
      <c r="B5" s="215" t="s">
        <v>133</v>
      </c>
      <c r="C5" s="216"/>
      <c r="D5" s="140"/>
      <c r="E5" s="2"/>
      <c r="F5" s="2"/>
      <c r="G5" s="2"/>
    </row>
    <row r="6" spans="1:7" ht="15">
      <c r="A6" s="61" t="s">
        <v>26</v>
      </c>
      <c r="B6" s="205" t="s">
        <v>134</v>
      </c>
      <c r="C6" s="206"/>
      <c r="D6" s="140"/>
      <c r="E6" s="2"/>
      <c r="F6" s="2"/>
      <c r="G6" s="2"/>
    </row>
    <row r="7" spans="1:7" ht="15">
      <c r="A7" s="61" t="s">
        <v>26</v>
      </c>
      <c r="B7" s="205" t="s">
        <v>135</v>
      </c>
      <c r="C7" s="206"/>
      <c r="D7" s="140"/>
      <c r="E7" s="2"/>
      <c r="F7" s="2"/>
      <c r="G7" s="2"/>
    </row>
    <row r="8" spans="1:7" ht="15">
      <c r="A8" s="61" t="s">
        <v>27</v>
      </c>
      <c r="B8" s="205">
        <v>111222333</v>
      </c>
      <c r="C8" s="206"/>
      <c r="D8" s="140"/>
      <c r="E8" s="2"/>
      <c r="F8" s="2"/>
      <c r="G8" s="2"/>
    </row>
    <row r="9" spans="1:7" ht="15.75" thickBot="1">
      <c r="A9" s="62" t="s">
        <v>28</v>
      </c>
      <c r="B9" s="207">
        <v>111222333</v>
      </c>
      <c r="C9" s="208"/>
      <c r="D9" s="140"/>
      <c r="E9" s="2"/>
      <c r="F9" s="2"/>
      <c r="G9" s="2"/>
    </row>
    <row r="10" ht="15.75" thickBot="1"/>
    <row r="11" spans="1:2" ht="15.75" thickBot="1">
      <c r="A11" s="60" t="s">
        <v>67</v>
      </c>
      <c r="B11" s="132">
        <v>1</v>
      </c>
    </row>
    <row r="12" spans="1:5" ht="45.75" thickBot="1">
      <c r="A12" s="61" t="s">
        <v>127</v>
      </c>
      <c r="B12" s="133">
        <v>44607</v>
      </c>
      <c r="D12" s="169" t="s">
        <v>182</v>
      </c>
      <c r="E12" s="168">
        <f>B12-Normark!V2</f>
        <v>0</v>
      </c>
    </row>
    <row r="13" spans="1:2" ht="15.75" thickBot="1">
      <c r="A13" s="62" t="s">
        <v>126</v>
      </c>
      <c r="B13" s="164">
        <v>50</v>
      </c>
    </row>
    <row r="14" ht="15">
      <c r="A14" s="181" t="s">
        <v>181</v>
      </c>
    </row>
    <row r="15" ht="15.75" thickBot="1"/>
    <row r="16" spans="1:6" ht="15">
      <c r="A16" s="107" t="s">
        <v>105</v>
      </c>
      <c r="B16" s="108" t="s">
        <v>106</v>
      </c>
      <c r="C16" s="109"/>
      <c r="D16" s="110" t="s">
        <v>30</v>
      </c>
      <c r="E16" s="111"/>
      <c r="F16" s="112"/>
    </row>
    <row r="17" spans="1:7" ht="43.5" customHeight="1">
      <c r="A17" s="70">
        <v>2021</v>
      </c>
      <c r="B17" s="74">
        <v>7</v>
      </c>
      <c r="C17" s="63"/>
      <c r="D17" s="64" t="str">
        <f>INDEX(Afgr,B17,2)</f>
        <v>Kartofler, stivelse-</v>
      </c>
      <c r="E17" s="28"/>
      <c r="F17" s="49"/>
      <c r="G17" s="28"/>
    </row>
    <row r="18" spans="1:7" ht="15">
      <c r="A18" s="61" t="s">
        <v>68</v>
      </c>
      <c r="B18" s="75"/>
      <c r="C18" s="65" t="s">
        <v>33</v>
      </c>
      <c r="D18" s="51">
        <f>INDEX(Afgr,$B$17,3)</f>
        <v>526</v>
      </c>
      <c r="E18" s="65" t="str">
        <f>_xlfn.CONCAT("Basisnorm, ",INDEX(Afgr,$B$17,7))</f>
        <v>Basisnorm, hkg pr. ha</v>
      </c>
      <c r="F18" s="66"/>
      <c r="G18" s="65"/>
    </row>
    <row r="19" spans="1:7" ht="15">
      <c r="A19" s="61"/>
      <c r="B19" s="25"/>
      <c r="C19" s="65"/>
      <c r="D19" s="51"/>
      <c r="E19" s="25"/>
      <c r="F19" s="49"/>
      <c r="G19" s="28"/>
    </row>
    <row r="20" spans="1:7" ht="15">
      <c r="A20" s="61" t="s">
        <v>34</v>
      </c>
      <c r="B20" s="72">
        <f>D20</f>
        <v>227</v>
      </c>
      <c r="C20" s="71" t="s">
        <v>54</v>
      </c>
      <c r="D20" s="72">
        <f>INDEX(Afgr,$B$17,4)</f>
        <v>227</v>
      </c>
      <c r="E20" s="65" t="s">
        <v>107</v>
      </c>
      <c r="F20" s="49"/>
      <c r="G20" s="28"/>
    </row>
    <row r="21" spans="1:7" ht="15">
      <c r="A21" s="61" t="s">
        <v>0</v>
      </c>
      <c r="B21" s="72" t="str">
        <f>IF(ISBLANK(B18),"0",(B18-D18)*D21)</f>
        <v>0</v>
      </c>
      <c r="C21" s="71" t="s">
        <v>54</v>
      </c>
      <c r="D21" s="51">
        <f>INDEX(Afgr,$B$17,5)</f>
        <v>0.2</v>
      </c>
      <c r="E21" s="65" t="str">
        <f>_xlfn.CONCAT("Kg N pr., ",INDEX(Afgr,$B$17,7))</f>
        <v>Kg N pr., hkg pr. ha</v>
      </c>
      <c r="F21" s="49"/>
      <c r="G21" s="28"/>
    </row>
    <row r="22" spans="1:7" ht="15.75" thickBot="1">
      <c r="A22" s="62" t="s">
        <v>36</v>
      </c>
      <c r="B22" s="67">
        <f>B20+B21</f>
        <v>227</v>
      </c>
      <c r="C22" s="73" t="s">
        <v>54</v>
      </c>
      <c r="D22" s="67"/>
      <c r="E22" s="68"/>
      <c r="F22" s="69"/>
      <c r="G22" s="28"/>
    </row>
    <row r="23" spans="4:15" ht="15.75" thickBot="1">
      <c r="D23" s="5"/>
      <c r="H23" s="154"/>
      <c r="I23" s="213" t="s">
        <v>64</v>
      </c>
      <c r="J23" s="210"/>
      <c r="K23" s="214"/>
      <c r="L23" s="209" t="s">
        <v>66</v>
      </c>
      <c r="M23" s="210"/>
      <c r="N23" s="210"/>
      <c r="O23" s="211"/>
    </row>
    <row r="24" spans="1:15" s="3" customFormat="1" ht="45">
      <c r="A24" s="134" t="s">
        <v>145</v>
      </c>
      <c r="B24" s="113" t="s">
        <v>128</v>
      </c>
      <c r="C24" s="114" t="s">
        <v>38</v>
      </c>
      <c r="D24" s="113" t="s">
        <v>63</v>
      </c>
      <c r="E24" s="114" t="s">
        <v>131</v>
      </c>
      <c r="F24" s="115" t="s">
        <v>39</v>
      </c>
      <c r="G24"/>
      <c r="H24" s="175"/>
      <c r="I24" s="138" t="s">
        <v>60</v>
      </c>
      <c r="J24" s="138" t="s">
        <v>61</v>
      </c>
      <c r="K24" s="138" t="s">
        <v>50</v>
      </c>
      <c r="L24" s="138" t="s">
        <v>60</v>
      </c>
      <c r="M24" s="138" t="s">
        <v>61</v>
      </c>
      <c r="N24" s="138" t="s">
        <v>50</v>
      </c>
      <c r="O24" s="139" t="s">
        <v>62</v>
      </c>
    </row>
    <row r="25" spans="1:18" ht="27.75" customHeight="1">
      <c r="A25" s="80" t="str">
        <f>_xlfn.CONCAT("Afgrøde i år ",B$1-1)</f>
        <v>Afgrøde i år 2021</v>
      </c>
      <c r="B25" s="50">
        <v>2</v>
      </c>
      <c r="C25" s="76">
        <v>1</v>
      </c>
      <c r="D25" s="185">
        <f>B1</f>
        <v>2022</v>
      </c>
      <c r="E25" s="50">
        <v>7</v>
      </c>
      <c r="F25" s="78">
        <v>30</v>
      </c>
      <c r="H25" s="61"/>
      <c r="I25" s="136">
        <f>INDEX(rester,$B25,3)</f>
        <v>75</v>
      </c>
      <c r="J25" s="136">
        <f>INDEX(rester,$B25,4)*SUM(C25)</f>
        <v>0</v>
      </c>
      <c r="K25" s="136">
        <f>INDEX(Org,E25,3)*SUM(F25)</f>
        <v>56.09999999999999</v>
      </c>
      <c r="L25" s="136">
        <f>I25*Normark!$K23/100</f>
        <v>22.5</v>
      </c>
      <c r="M25" s="136">
        <f>J25*Normark!$K23/100</f>
        <v>0</v>
      </c>
      <c r="N25" s="136">
        <f>SUM(INDEX(Org,E25,4))*K25/100</f>
        <v>16.829999999999995</v>
      </c>
      <c r="O25" s="137">
        <f>SUM(L25:N25)</f>
        <v>39.33</v>
      </c>
      <c r="Q25" s="3"/>
      <c r="R25" s="4"/>
    </row>
    <row r="26" spans="1:18" ht="28.5" customHeight="1">
      <c r="A26" s="80" t="str">
        <f>_xlfn.CONCAT("Afgrøde i år ",B$1-2)</f>
        <v>Afgrøde i år 2020</v>
      </c>
      <c r="B26" s="6">
        <v>7</v>
      </c>
      <c r="C26" s="77">
        <v>1</v>
      </c>
      <c r="D26" s="185">
        <f>D25-1</f>
        <v>2021</v>
      </c>
      <c r="E26" s="6">
        <v>7</v>
      </c>
      <c r="F26" s="79">
        <v>30</v>
      </c>
      <c r="H26" s="61"/>
      <c r="I26" s="136">
        <f>INDEX(rester,$B26,3)</f>
        <v>115</v>
      </c>
      <c r="J26" s="136">
        <f>INDEX(rester,$B26,4)*SUM(C26)</f>
        <v>0</v>
      </c>
      <c r="K26" s="136">
        <f>INDEX(Org,E26,3)*SUM(F26)</f>
        <v>56.09999999999999</v>
      </c>
      <c r="L26" s="136">
        <f>I26*Normark!$K24/100</f>
        <v>16.1</v>
      </c>
      <c r="M26" s="136">
        <f>J26*Normark!$K24/100</f>
        <v>0</v>
      </c>
      <c r="N26" s="136">
        <f>SUM(INDEX(Org,E26,5))*K26/100</f>
        <v>7.853999999999998</v>
      </c>
      <c r="O26" s="137">
        <f>SUM(L26:N26)</f>
        <v>23.954</v>
      </c>
      <c r="Q26" s="3"/>
      <c r="R26" s="4"/>
    </row>
    <row r="27" spans="1:18" ht="27.75" customHeight="1">
      <c r="A27" s="80" t="str">
        <f>_xlfn.CONCAT("Dyrkningshistorie før ",B$1-2)</f>
        <v>Dyrkningshistorie før 2020</v>
      </c>
      <c r="B27" s="171">
        <v>3</v>
      </c>
      <c r="H27" s="61" t="s">
        <v>170</v>
      </c>
      <c r="I27" s="28"/>
      <c r="J27" s="28"/>
      <c r="K27" s="28"/>
      <c r="L27" s="28"/>
      <c r="M27" s="28"/>
      <c r="N27" s="28"/>
      <c r="O27" s="172">
        <f>INDEX(Normark!B61:C65,'Indtastning til N-behov'!B27,2)</f>
        <v>17.77777777777778</v>
      </c>
      <c r="Q27" s="3"/>
      <c r="R27" s="4"/>
    </row>
    <row r="28" spans="8:18" ht="27.75" customHeight="1">
      <c r="H28" s="61"/>
      <c r="I28" s="28"/>
      <c r="J28" s="28"/>
      <c r="K28" s="28"/>
      <c r="L28" s="28"/>
      <c r="M28" s="28"/>
      <c r="N28" s="28"/>
      <c r="O28" s="172"/>
      <c r="Q28" s="3"/>
      <c r="R28" s="4"/>
    </row>
    <row r="29" spans="8:15" ht="27.75" customHeight="1" thickBot="1">
      <c r="H29" s="174" t="s">
        <v>171</v>
      </c>
      <c r="I29" s="68">
        <f aca="true" t="shared" si="0" ref="I29:O29">SUM(I25:I27)</f>
        <v>190</v>
      </c>
      <c r="J29" s="68">
        <f t="shared" si="0"/>
        <v>0</v>
      </c>
      <c r="K29" s="68">
        <f t="shared" si="0"/>
        <v>112.19999999999997</v>
      </c>
      <c r="L29" s="68">
        <f t="shared" si="0"/>
        <v>38.6</v>
      </c>
      <c r="M29" s="68">
        <f t="shared" si="0"/>
        <v>0</v>
      </c>
      <c r="N29" s="68">
        <f t="shared" si="0"/>
        <v>24.683999999999994</v>
      </c>
      <c r="O29" s="173">
        <f t="shared" si="0"/>
        <v>81.06177777777778</v>
      </c>
    </row>
    <row r="30" spans="1:7" ht="15" thickBot="1">
      <c r="A30" s="3"/>
      <c r="B30" s="3"/>
      <c r="C30" s="3"/>
      <c r="D30" s="3"/>
      <c r="E30" s="3"/>
      <c r="F30" s="3"/>
      <c r="G30" s="166"/>
    </row>
    <row r="31" spans="1:2" ht="15" thickBot="1">
      <c r="A31" s="94" t="s">
        <v>51</v>
      </c>
      <c r="B31" s="95">
        <f>INDEX(Afgr,B17,6)</f>
        <v>55</v>
      </c>
    </row>
    <row r="32" spans="9:15" ht="15" thickBot="1">
      <c r="I32" s="28"/>
      <c r="J32" s="28"/>
      <c r="K32" s="28"/>
      <c r="L32" s="28"/>
      <c r="M32" s="28"/>
      <c r="N32" s="28"/>
      <c r="O32" s="28"/>
    </row>
    <row r="33" spans="1:3" ht="14.25">
      <c r="A33" s="82" t="s">
        <v>34</v>
      </c>
      <c r="B33" s="180">
        <f>D20</f>
        <v>227</v>
      </c>
      <c r="C33" s="83" t="s">
        <v>35</v>
      </c>
    </row>
    <row r="34" spans="1:3" ht="14.25">
      <c r="A34" s="84" t="s">
        <v>0</v>
      </c>
      <c r="B34" s="186" t="str">
        <f>B21</f>
        <v>0</v>
      </c>
      <c r="C34" s="86" t="s">
        <v>35</v>
      </c>
    </row>
    <row r="35" spans="1:3" ht="14.25">
      <c r="A35" s="87" t="s">
        <v>43</v>
      </c>
      <c r="B35" s="88">
        <f>B22</f>
        <v>227</v>
      </c>
      <c r="C35" s="89" t="s">
        <v>35</v>
      </c>
    </row>
    <row r="36" spans="1:3" ht="14.25">
      <c r="A36" s="84"/>
      <c r="B36" s="90"/>
      <c r="C36" s="86"/>
    </row>
    <row r="37" spans="1:3" ht="14.25">
      <c r="A37" s="84" t="s">
        <v>44</v>
      </c>
      <c r="B37" s="90"/>
      <c r="C37" s="86"/>
    </row>
    <row r="38" spans="1:3" ht="16.5">
      <c r="A38" s="84" t="s">
        <v>178</v>
      </c>
      <c r="B38" s="85">
        <f>IF(AND(E12&gt;0,(B13-E12*Normark!V3)&lt;15),15,IF(E12&gt;0,B13-E12*Normark!V3,B13))</f>
        <v>50</v>
      </c>
      <c r="C38" s="86" t="s">
        <v>35</v>
      </c>
    </row>
    <row r="39" spans="1:3" ht="14.25">
      <c r="A39" s="84" t="s">
        <v>45</v>
      </c>
      <c r="B39" s="85">
        <f>SUM(L29:M29)*$B$31/100</f>
        <v>21.23</v>
      </c>
      <c r="C39" s="86" t="s">
        <v>35</v>
      </c>
    </row>
    <row r="40" spans="1:3" ht="14.25">
      <c r="A40" s="84" t="s">
        <v>180</v>
      </c>
      <c r="B40" s="85">
        <f>SUM(N25:N26,O27)*$B$31/100</f>
        <v>23.35397777777777</v>
      </c>
      <c r="C40" s="86" t="s">
        <v>35</v>
      </c>
    </row>
    <row r="41" spans="1:3" ht="14.25">
      <c r="A41" s="87" t="s">
        <v>46</v>
      </c>
      <c r="B41" s="88">
        <f>SUM(B38:B40)</f>
        <v>94.58397777777778</v>
      </c>
      <c r="C41" s="89" t="s">
        <v>47</v>
      </c>
    </row>
    <row r="42" spans="1:3" ht="14.25" hidden="1">
      <c r="A42" s="84"/>
      <c r="B42" s="85"/>
      <c r="C42" s="86"/>
    </row>
    <row r="43" spans="1:3" ht="14.25" hidden="1">
      <c r="A43" s="87" t="s">
        <v>48</v>
      </c>
      <c r="B43" s="88">
        <v>0</v>
      </c>
      <c r="C43" s="89" t="s">
        <v>47</v>
      </c>
    </row>
    <row r="44" spans="1:3" ht="14.25">
      <c r="A44" s="84"/>
      <c r="B44" s="85"/>
      <c r="C44" s="86"/>
    </row>
    <row r="45" spans="1:3" ht="15" thickBot="1">
      <c r="A45" s="91" t="s">
        <v>49</v>
      </c>
      <c r="B45" s="92">
        <f>B35-B41-B43</f>
        <v>132.41602222222224</v>
      </c>
      <c r="C45" s="93" t="s">
        <v>54</v>
      </c>
    </row>
    <row r="46" ht="14.25">
      <c r="A46" t="s">
        <v>179</v>
      </c>
    </row>
  </sheetData>
  <sheetProtection/>
  <mergeCells count="8">
    <mergeCell ref="B8:C8"/>
    <mergeCell ref="B9:C9"/>
    <mergeCell ref="L23:O23"/>
    <mergeCell ref="C1:D1"/>
    <mergeCell ref="I23:K23"/>
    <mergeCell ref="B5:C5"/>
    <mergeCell ref="B6:C6"/>
    <mergeCell ref="B7:C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3"/>
  <headerFooter>
    <oddHeader>&amp;C&amp;"-,Fed"&amp;12Beregning af kvælstofbehov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5">
    <tabColor theme="9"/>
    <pageSetUpPr fitToPage="1"/>
  </sheetPr>
  <dimension ref="A1:G32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33.57421875" style="0" customWidth="1"/>
    <col min="2" max="2" width="12.421875" style="0" customWidth="1"/>
    <col min="3" max="3" width="11.57421875" style="0" customWidth="1"/>
    <col min="5" max="5" width="10.00390625" style="0" customWidth="1"/>
    <col min="6" max="6" width="9.421875" style="0" bestFit="1" customWidth="1"/>
    <col min="7" max="7" width="11.421875" style="0" customWidth="1"/>
  </cols>
  <sheetData>
    <row r="1" spans="1:7" ht="14.25">
      <c r="A1" s="229" t="s">
        <v>124</v>
      </c>
      <c r="B1" s="230"/>
      <c r="C1" s="230"/>
      <c r="D1" s="230"/>
      <c r="E1" s="230"/>
      <c r="F1" s="230"/>
      <c r="G1" s="231"/>
    </row>
    <row r="2" spans="1:7" ht="14.25">
      <c r="A2" s="97"/>
      <c r="B2" s="52"/>
      <c r="C2" s="52"/>
      <c r="D2" s="52"/>
      <c r="E2" s="217">
        <f ca="1">NOW()</f>
        <v>44607.59767928241</v>
      </c>
      <c r="F2" s="218"/>
      <c r="G2" s="219"/>
    </row>
    <row r="3" spans="1:7" ht="15">
      <c r="A3" s="98" t="str">
        <f>'Indtastning til N-behov'!B5</f>
        <v>Nanna Hellum</v>
      </c>
      <c r="B3" s="53"/>
      <c r="C3" s="53"/>
      <c r="D3" s="53"/>
      <c r="E3" s="53"/>
      <c r="F3" s="53"/>
      <c r="G3" s="49"/>
    </row>
    <row r="4" spans="1:7" ht="15">
      <c r="A4" s="98" t="str">
        <f>'Indtastning til N-behov'!B6</f>
        <v>Agro Food Park</v>
      </c>
      <c r="B4" s="53"/>
      <c r="C4" s="53"/>
      <c r="D4" s="53"/>
      <c r="E4" s="53"/>
      <c r="F4" s="53"/>
      <c r="G4" s="49"/>
    </row>
    <row r="5" spans="1:7" ht="15">
      <c r="A5" s="98" t="str">
        <f>'Indtastning til N-behov'!B7</f>
        <v>8200 Aarhus N</v>
      </c>
      <c r="B5" s="53"/>
      <c r="C5" s="53"/>
      <c r="D5" s="53"/>
      <c r="E5" s="53"/>
      <c r="F5" s="53"/>
      <c r="G5" s="49"/>
    </row>
    <row r="6" spans="1:7" ht="15">
      <c r="A6" s="99" t="str">
        <f>_xlfn.CONCAT("Tlf. ",'Indtastning til N-behov'!B8)</f>
        <v>Tlf. 111222333</v>
      </c>
      <c r="B6" s="53"/>
      <c r="C6" s="53"/>
      <c r="D6" s="53"/>
      <c r="E6" s="53"/>
      <c r="F6" s="53"/>
      <c r="G6" s="49"/>
    </row>
    <row r="7" spans="1:7" ht="15">
      <c r="A7" s="98" t="str">
        <f>_xlfn.CONCAT("Medlemsnr. ",IF('Indtastning til N-behov'!B9&gt;0,'Indtastning til N-behov'!B9,""))</f>
        <v>Medlemsnr. 111222333</v>
      </c>
      <c r="B7" s="53"/>
      <c r="C7" s="53"/>
      <c r="D7" s="53"/>
      <c r="E7" s="53"/>
      <c r="F7" s="53"/>
      <c r="G7" s="49"/>
    </row>
    <row r="8" spans="1:7" ht="15">
      <c r="A8" s="98"/>
      <c r="B8" s="53"/>
      <c r="C8" s="53"/>
      <c r="D8" s="53"/>
      <c r="E8" s="53"/>
      <c r="F8" s="53"/>
      <c r="G8" s="49"/>
    </row>
    <row r="9" spans="1:7" ht="15">
      <c r="A9" s="100" t="s">
        <v>67</v>
      </c>
      <c r="B9" s="53">
        <f>'Indtastning til N-behov'!B11</f>
        <v>1</v>
      </c>
      <c r="C9" s="53"/>
      <c r="D9" s="53"/>
      <c r="E9" s="53"/>
      <c r="F9" s="53"/>
      <c r="G9" s="49"/>
    </row>
    <row r="10" spans="1:7" ht="15">
      <c r="A10" s="101" t="s">
        <v>29</v>
      </c>
      <c r="B10" s="96">
        <f>'Indtastning til N-behov'!B12</f>
        <v>44607</v>
      </c>
      <c r="C10" s="53"/>
      <c r="D10" s="53"/>
      <c r="E10" s="53"/>
      <c r="F10" s="53"/>
      <c r="G10" s="49"/>
    </row>
    <row r="11" spans="1:7" ht="15">
      <c r="A11" s="101" t="s">
        <v>129</v>
      </c>
      <c r="B11" s="53">
        <f>'Indtastning til N-behov'!B13</f>
        <v>50</v>
      </c>
      <c r="C11" s="53"/>
      <c r="D11" s="53"/>
      <c r="E11" s="53"/>
      <c r="F11" s="53"/>
      <c r="G11" s="49"/>
    </row>
    <row r="12" spans="1:7" ht="15">
      <c r="A12" s="98"/>
      <c r="B12" s="53"/>
      <c r="C12" s="53"/>
      <c r="D12" s="53"/>
      <c r="E12" s="53"/>
      <c r="F12" s="53"/>
      <c r="G12" s="49"/>
    </row>
    <row r="13" spans="1:7" ht="15">
      <c r="A13" s="98"/>
      <c r="B13" s="53"/>
      <c r="C13" s="53"/>
      <c r="D13" s="53"/>
      <c r="E13" s="53"/>
      <c r="F13" s="53"/>
      <c r="G13" s="49"/>
    </row>
    <row r="14" spans="1:7" ht="15">
      <c r="A14" s="101" t="str">
        <f>"Afgrøde "&amp;'Indtastning til N-behov'!B1&amp;""</f>
        <v>Afgrøde 2022</v>
      </c>
      <c r="B14" s="53" t="str">
        <f>'Indtastning til N-behov'!D17</f>
        <v>Kartofler, stivelse-</v>
      </c>
      <c r="C14" s="53"/>
      <c r="D14" s="55" t="s">
        <v>57</v>
      </c>
      <c r="E14" s="53"/>
      <c r="F14" s="53">
        <f>'Indtastning til N-behov'!B18</f>
        <v>0</v>
      </c>
      <c r="G14" s="49" t="str">
        <f>INDEX(Afgr,'Indtastning til N-behov'!B17,7)</f>
        <v>hkg pr. ha</v>
      </c>
    </row>
    <row r="15" spans="1:7" ht="15">
      <c r="A15" s="98"/>
      <c r="B15" s="53"/>
      <c r="C15" s="53"/>
      <c r="D15" s="53"/>
      <c r="E15" s="53"/>
      <c r="F15" s="53"/>
      <c r="G15" s="49"/>
    </row>
    <row r="16" spans="1:7" ht="15">
      <c r="A16" s="98" t="s">
        <v>34</v>
      </c>
      <c r="B16" s="53">
        <f>'Indtastning til N-behov'!B33</f>
        <v>227</v>
      </c>
      <c r="C16" s="53" t="s">
        <v>35</v>
      </c>
      <c r="D16" s="53"/>
      <c r="E16" s="53"/>
      <c r="F16" s="53"/>
      <c r="G16" s="49"/>
    </row>
    <row r="17" spans="1:7" ht="15">
      <c r="A17" s="98" t="s">
        <v>0</v>
      </c>
      <c r="B17" s="54" t="str">
        <f>'Indtastning til N-behov'!B34</f>
        <v>0</v>
      </c>
      <c r="C17" s="53" t="s">
        <v>35</v>
      </c>
      <c r="D17" s="53"/>
      <c r="E17" s="53"/>
      <c r="F17" s="53"/>
      <c r="G17" s="49"/>
    </row>
    <row r="18" spans="1:7" ht="15">
      <c r="A18" s="102" t="s">
        <v>43</v>
      </c>
      <c r="B18" s="11">
        <f>'Indtastning til N-behov'!B35</f>
        <v>227</v>
      </c>
      <c r="C18" s="10" t="s">
        <v>35</v>
      </c>
      <c r="D18" s="53"/>
      <c r="E18" s="53"/>
      <c r="F18" s="53"/>
      <c r="G18" s="49"/>
    </row>
    <row r="19" spans="1:7" ht="15">
      <c r="A19" s="98"/>
      <c r="B19" s="53"/>
      <c r="C19" s="53"/>
      <c r="D19" s="53"/>
      <c r="E19" s="53"/>
      <c r="F19" s="53"/>
      <c r="G19" s="49"/>
    </row>
    <row r="20" spans="1:7" ht="15">
      <c r="A20" s="101" t="s">
        <v>44</v>
      </c>
      <c r="B20" s="53"/>
      <c r="C20" s="53"/>
      <c r="D20" s="53"/>
      <c r="E20" s="53"/>
      <c r="F20" s="53"/>
      <c r="G20" s="49"/>
    </row>
    <row r="21" spans="1:7" ht="15">
      <c r="A21" s="98" t="s">
        <v>53</v>
      </c>
      <c r="B21" s="54">
        <f>'Indtastning til N-behov'!B38</f>
        <v>50</v>
      </c>
      <c r="C21" s="53" t="s">
        <v>35</v>
      </c>
      <c r="D21" s="53"/>
      <c r="E21" s="53"/>
      <c r="F21" s="53"/>
      <c r="G21" s="49"/>
    </row>
    <row r="22" spans="1:7" ht="15">
      <c r="A22" s="98" t="s">
        <v>45</v>
      </c>
      <c r="B22" s="54">
        <f>'Indtastning til N-behov'!B39</f>
        <v>21.23</v>
      </c>
      <c r="C22" s="53" t="s">
        <v>35</v>
      </c>
      <c r="D22" s="53"/>
      <c r="E22" s="53"/>
      <c r="F22" s="53"/>
      <c r="G22" s="49"/>
    </row>
    <row r="23" spans="1:7" ht="15">
      <c r="A23" s="98" t="s">
        <v>42</v>
      </c>
      <c r="B23" s="54">
        <f>'Indtastning til N-behov'!B40</f>
        <v>23.35397777777777</v>
      </c>
      <c r="C23" s="53" t="s">
        <v>35</v>
      </c>
      <c r="D23" s="53"/>
      <c r="E23" s="53"/>
      <c r="F23" s="53"/>
      <c r="G23" s="49"/>
    </row>
    <row r="24" spans="1:7" ht="15">
      <c r="A24" s="102" t="s">
        <v>46</v>
      </c>
      <c r="B24" s="11">
        <f>'Indtastning til N-behov'!B41</f>
        <v>94.58397777777778</v>
      </c>
      <c r="C24" s="10" t="s">
        <v>47</v>
      </c>
      <c r="D24" s="53"/>
      <c r="E24" s="53"/>
      <c r="F24" s="53"/>
      <c r="G24" s="49"/>
    </row>
    <row r="25" spans="1:7" ht="15">
      <c r="A25" s="98"/>
      <c r="B25" s="54"/>
      <c r="C25" s="53"/>
      <c r="D25" s="53"/>
      <c r="E25" s="53"/>
      <c r="F25" s="53"/>
      <c r="G25" s="49"/>
    </row>
    <row r="26" spans="1:7" ht="15">
      <c r="A26" s="102" t="s">
        <v>49</v>
      </c>
      <c r="B26" s="11">
        <f>'Indtastning til N-behov'!B45</f>
        <v>132.41602222222224</v>
      </c>
      <c r="C26" s="10" t="s">
        <v>54</v>
      </c>
      <c r="D26" s="53"/>
      <c r="E26" s="53"/>
      <c r="F26" s="53"/>
      <c r="G26" s="49"/>
    </row>
    <row r="27" spans="1:7" ht="15.75" thickBot="1">
      <c r="A27" s="98"/>
      <c r="B27" s="53"/>
      <c r="C27" s="53"/>
      <c r="D27" s="53"/>
      <c r="E27" s="53"/>
      <c r="F27" s="53"/>
      <c r="G27" s="49"/>
    </row>
    <row r="28" spans="1:7" ht="14.25">
      <c r="A28" s="220" t="s">
        <v>58</v>
      </c>
      <c r="B28" s="221"/>
      <c r="C28" s="221"/>
      <c r="D28" s="221"/>
      <c r="E28" s="221"/>
      <c r="F28" s="221"/>
      <c r="G28" s="222"/>
    </row>
    <row r="29" spans="1:7" ht="14.25">
      <c r="A29" s="223"/>
      <c r="B29" s="224"/>
      <c r="C29" s="224"/>
      <c r="D29" s="224"/>
      <c r="E29" s="224"/>
      <c r="F29" s="224"/>
      <c r="G29" s="225"/>
    </row>
    <row r="30" spans="1:7" ht="14.25">
      <c r="A30" s="223"/>
      <c r="B30" s="224"/>
      <c r="C30" s="224"/>
      <c r="D30" s="224"/>
      <c r="E30" s="224"/>
      <c r="F30" s="224"/>
      <c r="G30" s="225"/>
    </row>
    <row r="31" spans="1:7" ht="14.25">
      <c r="A31" s="223"/>
      <c r="B31" s="224"/>
      <c r="C31" s="224"/>
      <c r="D31" s="224"/>
      <c r="E31" s="224"/>
      <c r="F31" s="224"/>
      <c r="G31" s="225"/>
    </row>
    <row r="32" spans="1:7" ht="15" thickBot="1">
      <c r="A32" s="226"/>
      <c r="B32" s="227"/>
      <c r="C32" s="227"/>
      <c r="D32" s="227"/>
      <c r="E32" s="227"/>
      <c r="F32" s="227"/>
      <c r="G32" s="228"/>
    </row>
  </sheetData>
  <sheetProtection/>
  <mergeCells count="3">
    <mergeCell ref="E2:G2"/>
    <mergeCell ref="A28:G32"/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  <headerFooter>
    <oddHeader>&amp;C&amp;"-,Fed"&amp;12Tilførselsbehov beregnet på grundlag af N-min</oddHeader>
    <oddFooter>&amp;L&amp;Z&amp;F&amp;R&amp;D&amp;T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6"/>
  <dimension ref="A2:H18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 thickBot="1"/>
    <row r="2" spans="3:6" ht="14.25">
      <c r="C2" s="17" t="s">
        <v>90</v>
      </c>
      <c r="D2" s="18"/>
      <c r="E2" s="18"/>
      <c r="F2" s="19"/>
    </row>
    <row r="3" spans="3:6" ht="13.5" customHeight="1" thickBot="1">
      <c r="C3" s="20" t="s">
        <v>91</v>
      </c>
      <c r="D3" s="21"/>
      <c r="E3" s="21"/>
      <c r="F3" s="22"/>
    </row>
    <row r="4" spans="3:6" ht="14.25">
      <c r="C4" s="7">
        <v>25</v>
      </c>
      <c r="D4" s="7">
        <v>50</v>
      </c>
      <c r="E4" s="7">
        <v>75</v>
      </c>
      <c r="F4" s="7">
        <v>100</v>
      </c>
    </row>
    <row r="5" spans="1:6" ht="14.25">
      <c r="A5" t="s">
        <v>92</v>
      </c>
      <c r="C5" s="7">
        <v>1</v>
      </c>
      <c r="D5" s="7">
        <v>2</v>
      </c>
      <c r="E5" s="7">
        <v>3</v>
      </c>
      <c r="F5" s="7">
        <v>4</v>
      </c>
    </row>
    <row r="6" spans="1:8" ht="14.25">
      <c r="A6" t="s">
        <v>93</v>
      </c>
      <c r="B6" s="7">
        <v>2</v>
      </c>
      <c r="C6" s="23">
        <f>Rulletekst!H17</f>
        <v>3.5</v>
      </c>
      <c r="D6" s="23">
        <f>Rulletekst!I17</f>
        <v>5.25</v>
      </c>
      <c r="E6" s="23">
        <f>Rulletekst!J17</f>
        <v>0</v>
      </c>
      <c r="F6" s="23">
        <f>Rulletekst!K17</f>
        <v>0</v>
      </c>
      <c r="H6" s="24">
        <f>VLOOKUP('N-min beregning'!N6,B6:F9,'N-min beregning'!O6,FALSE)</f>
        <v>8.307692307692308</v>
      </c>
    </row>
    <row r="7" spans="1:6" ht="14.25">
      <c r="A7" t="s">
        <v>94</v>
      </c>
      <c r="B7" s="25">
        <v>3</v>
      </c>
      <c r="C7" s="23">
        <f>Rulletekst!H18</f>
        <v>5</v>
      </c>
      <c r="D7" s="23">
        <f>Rulletekst!I18</f>
        <v>7</v>
      </c>
      <c r="E7" s="23">
        <f>Rulletekst!J18</f>
        <v>9.799999999999999</v>
      </c>
      <c r="F7" s="23">
        <f>Rulletekst!K18</f>
        <v>0</v>
      </c>
    </row>
    <row r="8" spans="1:6" ht="14.25">
      <c r="A8" t="s">
        <v>95</v>
      </c>
      <c r="B8" s="25">
        <v>4</v>
      </c>
      <c r="C8" s="23">
        <f>Rulletekst!H19</f>
        <v>0</v>
      </c>
      <c r="D8" s="23">
        <f>Rulletekst!I19</f>
        <v>8.307692307692308</v>
      </c>
      <c r="E8" s="23">
        <f>Rulletekst!J19</f>
        <v>10.8</v>
      </c>
      <c r="F8" s="23">
        <f>Rulletekst!K19</f>
        <v>14.040000000000001</v>
      </c>
    </row>
    <row r="9" spans="1:6" ht="14.25">
      <c r="A9" t="s">
        <v>96</v>
      </c>
      <c r="B9" s="25">
        <v>5</v>
      </c>
      <c r="C9" s="23">
        <f>Rulletekst!H20</f>
        <v>0</v>
      </c>
      <c r="D9" s="23">
        <f>Rulletekst!I20</f>
        <v>0</v>
      </c>
      <c r="E9" s="23">
        <f>Rulletekst!J20</f>
        <v>11.230769230769232</v>
      </c>
      <c r="F9" s="23">
        <f>Rulletekst!K20</f>
        <v>14.600000000000001</v>
      </c>
    </row>
    <row r="10" ht="15" thickBot="1"/>
    <row r="11" spans="3:6" ht="14.25">
      <c r="C11" s="17" t="s">
        <v>97</v>
      </c>
      <c r="D11" s="18"/>
      <c r="E11" s="18"/>
      <c r="F11" s="19"/>
    </row>
    <row r="12" spans="3:6" ht="15" thickBot="1">
      <c r="C12" s="20" t="s">
        <v>91</v>
      </c>
      <c r="D12" s="21"/>
      <c r="E12" s="21"/>
      <c r="F12" s="22"/>
    </row>
    <row r="13" spans="3:6" ht="14.25">
      <c r="C13" s="7">
        <v>25</v>
      </c>
      <c r="D13" s="7">
        <v>50</v>
      </c>
      <c r="E13" s="7">
        <v>75</v>
      </c>
      <c r="F13" s="7">
        <v>100</v>
      </c>
    </row>
    <row r="14" spans="1:6" ht="14.25">
      <c r="A14" t="s">
        <v>92</v>
      </c>
      <c r="C14" s="7">
        <v>1</v>
      </c>
      <c r="D14" s="7">
        <v>2</v>
      </c>
      <c r="E14" s="7">
        <v>3</v>
      </c>
      <c r="F14" s="7">
        <v>4</v>
      </c>
    </row>
    <row r="15" spans="1:8" ht="14.25">
      <c r="A15" t="s">
        <v>93</v>
      </c>
      <c r="B15" s="7">
        <v>2</v>
      </c>
      <c r="C15" s="23">
        <f>Rulletekst!L17</f>
        <v>3.5</v>
      </c>
      <c r="D15" s="23">
        <f>Rulletekst!M17</f>
        <v>5.25</v>
      </c>
      <c r="E15" s="23" t="str">
        <f>Rulletekst!N17</f>
        <v>-</v>
      </c>
      <c r="F15" s="23" t="str">
        <f>Rulletekst!O17</f>
        <v>-</v>
      </c>
      <c r="H15" s="24">
        <f>VLOOKUP('N-min beregning'!N6,B15:F18,'N-min beregning'!O6,FALSE)</f>
        <v>8.307692307692308</v>
      </c>
    </row>
    <row r="16" spans="1:6" ht="14.25">
      <c r="A16" t="s">
        <v>94</v>
      </c>
      <c r="B16" s="25">
        <v>3</v>
      </c>
      <c r="C16" s="23">
        <f>Rulletekst!L18</f>
        <v>5</v>
      </c>
      <c r="D16" s="23">
        <f>Rulletekst!M18</f>
        <v>7</v>
      </c>
      <c r="E16" s="23">
        <f>Rulletekst!N18</f>
        <v>9.799999999999999</v>
      </c>
      <c r="F16" s="23" t="str">
        <f>Rulletekst!O18</f>
        <v>-</v>
      </c>
    </row>
    <row r="17" spans="1:6" ht="14.25">
      <c r="A17" t="s">
        <v>95</v>
      </c>
      <c r="B17" s="25">
        <v>4</v>
      </c>
      <c r="C17" s="23" t="str">
        <f>Rulletekst!L19</f>
        <v>-</v>
      </c>
      <c r="D17" s="23">
        <f>Rulletekst!M19</f>
        <v>8.307692307692308</v>
      </c>
      <c r="E17" s="23">
        <f>Rulletekst!N19</f>
        <v>10.8</v>
      </c>
      <c r="F17" s="23">
        <f>Rulletekst!O19</f>
        <v>14.040000000000001</v>
      </c>
    </row>
    <row r="18" spans="1:6" ht="14.25">
      <c r="A18" t="s">
        <v>96</v>
      </c>
      <c r="B18" s="25">
        <v>5</v>
      </c>
      <c r="C18" s="23" t="str">
        <f>Rulletekst!L20</f>
        <v>-</v>
      </c>
      <c r="D18" s="23" t="str">
        <f>Rulletekst!M20</f>
        <v>-</v>
      </c>
      <c r="E18" s="23">
        <f>Rulletekst!N20</f>
        <v>11.230769230769232</v>
      </c>
      <c r="F18" s="23">
        <f>Rulletekst!O20</f>
        <v>14.600000000000001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7"/>
  <dimension ref="A1:O32"/>
  <sheetViews>
    <sheetView zoomScalePageLayoutView="0" workbookViewId="0" topLeftCell="A1">
      <selection activeCell="N29" sqref="N29"/>
    </sheetView>
  </sheetViews>
  <sheetFormatPr defaultColWidth="9.140625" defaultRowHeight="15"/>
  <cols>
    <col min="2" max="2" width="11.57421875" style="0" bestFit="1" customWidth="1"/>
    <col min="10" max="10" width="12.57421875" style="0" bestFit="1" customWidth="1"/>
  </cols>
  <sheetData>
    <row r="1" spans="2:4" ht="14.25">
      <c r="B1" t="s">
        <v>98</v>
      </c>
      <c r="C1" t="s">
        <v>99</v>
      </c>
      <c r="D1" t="s">
        <v>100</v>
      </c>
    </row>
    <row r="2" spans="2:4" ht="14.25">
      <c r="B2" s="13" t="s">
        <v>93</v>
      </c>
      <c r="C2">
        <v>1.4</v>
      </c>
      <c r="D2">
        <f>'N-min beregning'!B15</f>
        <v>1.4</v>
      </c>
    </row>
    <row r="3" spans="2:4" ht="14.25">
      <c r="B3" s="13" t="s">
        <v>94</v>
      </c>
      <c r="C3">
        <v>1.4</v>
      </c>
      <c r="D3">
        <f>'N-min beregning'!B16</f>
        <v>1.4</v>
      </c>
    </row>
    <row r="4" spans="2:4" ht="14.25">
      <c r="B4" s="13" t="s">
        <v>95</v>
      </c>
      <c r="C4">
        <v>1.52</v>
      </c>
      <c r="D4">
        <f>'N-min beregning'!B17</f>
        <v>1.52</v>
      </c>
    </row>
    <row r="5" spans="2:4" ht="14.25">
      <c r="B5" s="13" t="s">
        <v>96</v>
      </c>
      <c r="C5">
        <v>1.52</v>
      </c>
      <c r="D5">
        <f>'N-min beregning'!B18</f>
        <v>1.52</v>
      </c>
    </row>
    <row r="6" spans="2:9" ht="14.25">
      <c r="B6" s="13" t="s">
        <v>92</v>
      </c>
      <c r="C6" s="13">
        <v>1</v>
      </c>
      <c r="D6" s="13" t="s">
        <v>101</v>
      </c>
      <c r="E6" s="13"/>
      <c r="F6" s="13"/>
      <c r="G6" s="13" t="s">
        <v>102</v>
      </c>
      <c r="H6" s="13">
        <v>1</v>
      </c>
      <c r="I6" s="13"/>
    </row>
    <row r="7" spans="2:9" ht="14.25">
      <c r="B7" s="13" t="s">
        <v>93</v>
      </c>
      <c r="C7" s="13">
        <v>2</v>
      </c>
      <c r="D7" s="13">
        <f>C2*2.5</f>
        <v>3.5</v>
      </c>
      <c r="E7" s="13">
        <f>D2*2.5</f>
        <v>3.5</v>
      </c>
      <c r="F7" s="13"/>
      <c r="G7" s="16">
        <v>25</v>
      </c>
      <c r="H7" s="13">
        <v>2</v>
      </c>
      <c r="I7" s="13">
        <f>H7+10</f>
        <v>12</v>
      </c>
    </row>
    <row r="8" spans="2:9" ht="14.25">
      <c r="B8" s="13" t="s">
        <v>94</v>
      </c>
      <c r="C8" s="26">
        <v>3</v>
      </c>
      <c r="D8" s="27">
        <f>2.5*C2+2.5*C3</f>
        <v>7</v>
      </c>
      <c r="E8" s="27">
        <f>2.5*D2+2.5*D3</f>
        <v>7</v>
      </c>
      <c r="F8" s="13"/>
      <c r="G8" s="16">
        <v>50</v>
      </c>
      <c r="H8" s="26">
        <v>3</v>
      </c>
      <c r="I8" s="13">
        <f>H8+10</f>
        <v>13</v>
      </c>
    </row>
    <row r="9" spans="2:9" ht="14.25">
      <c r="B9" s="13" t="s">
        <v>95</v>
      </c>
      <c r="C9" s="26">
        <v>4</v>
      </c>
      <c r="D9" s="13">
        <f>2.5*C2+2.5*C3+2.5*C4</f>
        <v>10.8</v>
      </c>
      <c r="E9" s="13">
        <f>2.5*D2+2.5*D3+2.5*D4</f>
        <v>10.8</v>
      </c>
      <c r="F9" s="13"/>
      <c r="G9" s="16">
        <v>75</v>
      </c>
      <c r="H9" s="26">
        <v>4</v>
      </c>
      <c r="I9" s="13">
        <f>H9+10</f>
        <v>14</v>
      </c>
    </row>
    <row r="10" spans="2:9" ht="14.25">
      <c r="B10" s="13" t="s">
        <v>96</v>
      </c>
      <c r="C10" s="26">
        <v>5</v>
      </c>
      <c r="D10" s="13">
        <f>2.5*C2+2.5*C3+2.5*C4+2.5*C5</f>
        <v>14.600000000000001</v>
      </c>
      <c r="E10" s="13">
        <f>2.5*D2+2.5*D3+2.5*D4+2.5*D5</f>
        <v>14.600000000000001</v>
      </c>
      <c r="F10" s="13"/>
      <c r="G10" s="16">
        <v>100</v>
      </c>
      <c r="H10" s="26">
        <v>5</v>
      </c>
      <c r="I10" s="13">
        <f>H10+10</f>
        <v>15</v>
      </c>
    </row>
    <row r="11" spans="3:4" ht="14.25">
      <c r="C11" s="28"/>
      <c r="D11" s="1"/>
    </row>
    <row r="12" ht="14.25">
      <c r="C12" s="28"/>
    </row>
    <row r="13" ht="15" thickBot="1">
      <c r="C13" s="28"/>
    </row>
    <row r="14" spans="3:15" ht="14.25">
      <c r="C14" s="28"/>
      <c r="H14" s="17" t="s">
        <v>90</v>
      </c>
      <c r="I14" s="18"/>
      <c r="J14" s="18"/>
      <c r="K14" s="19"/>
      <c r="L14" s="17" t="s">
        <v>97</v>
      </c>
      <c r="M14" s="18"/>
      <c r="N14" s="18"/>
      <c r="O14" s="19"/>
    </row>
    <row r="15" spans="2:15" ht="14.25">
      <c r="B15" t="s">
        <v>92</v>
      </c>
      <c r="C15" s="29" t="s">
        <v>91</v>
      </c>
      <c r="D15" s="29"/>
      <c r="E15" s="29"/>
      <c r="F15" s="29"/>
      <c r="H15" s="30" t="s">
        <v>91</v>
      </c>
      <c r="I15" s="31"/>
      <c r="J15" s="31"/>
      <c r="K15" s="32"/>
      <c r="L15" s="30" t="s">
        <v>91</v>
      </c>
      <c r="M15" s="31"/>
      <c r="N15" s="31"/>
      <c r="O15" s="32"/>
    </row>
    <row r="16" spans="3:15" ht="14.25">
      <c r="C16" s="7">
        <v>2</v>
      </c>
      <c r="D16" s="25">
        <v>3</v>
      </c>
      <c r="E16" s="25">
        <v>4</v>
      </c>
      <c r="F16" s="25">
        <v>5</v>
      </c>
      <c r="G16" s="49"/>
      <c r="H16" s="16">
        <v>2</v>
      </c>
      <c r="I16" s="48">
        <v>3</v>
      </c>
      <c r="J16" s="48">
        <v>4</v>
      </c>
      <c r="K16" s="48">
        <v>5</v>
      </c>
      <c r="L16" s="33">
        <v>2</v>
      </c>
      <c r="M16" s="25">
        <v>3</v>
      </c>
      <c r="N16" s="25">
        <v>4</v>
      </c>
      <c r="O16" s="34">
        <v>5</v>
      </c>
    </row>
    <row r="17" spans="1:15" ht="14.25">
      <c r="A17" t="s">
        <v>93</v>
      </c>
      <c r="B17" s="7">
        <v>2</v>
      </c>
      <c r="C17" s="7">
        <v>1</v>
      </c>
      <c r="D17" s="7">
        <v>1.5</v>
      </c>
      <c r="E17" s="35" t="s">
        <v>103</v>
      </c>
      <c r="F17" s="35" t="s">
        <v>103</v>
      </c>
      <c r="H17" s="33">
        <f>$D$7*$C$17</f>
        <v>3.5</v>
      </c>
      <c r="I17" s="36">
        <f>$D$7*$D$17</f>
        <v>5.25</v>
      </c>
      <c r="J17" s="37">
        <v>0</v>
      </c>
      <c r="K17" s="38">
        <v>0</v>
      </c>
      <c r="L17" s="33">
        <f>$E$7*$C$17</f>
        <v>3.5</v>
      </c>
      <c r="M17" s="36">
        <f>$E$7*$D$17</f>
        <v>5.25</v>
      </c>
      <c r="N17" s="37" t="s">
        <v>103</v>
      </c>
      <c r="O17" s="38" t="s">
        <v>103</v>
      </c>
    </row>
    <row r="18" spans="1:15" ht="14.25">
      <c r="A18" t="s">
        <v>94</v>
      </c>
      <c r="B18" s="25">
        <v>3</v>
      </c>
      <c r="C18" s="24">
        <f>1/E18</f>
        <v>0.7142857142857143</v>
      </c>
      <c r="D18" s="7">
        <v>1</v>
      </c>
      <c r="E18" s="7">
        <v>1.4</v>
      </c>
      <c r="F18" s="35" t="s">
        <v>103</v>
      </c>
      <c r="H18" s="39">
        <f>$D$8*$C$18</f>
        <v>5</v>
      </c>
      <c r="I18" s="36">
        <f>$D$8*$D$18</f>
        <v>7</v>
      </c>
      <c r="J18" s="36">
        <f>$D$8*$E$18</f>
        <v>9.799999999999999</v>
      </c>
      <c r="K18" s="40">
        <v>0</v>
      </c>
      <c r="L18" s="39">
        <f>$E$8*$C$18</f>
        <v>5</v>
      </c>
      <c r="M18" s="36">
        <f>$E$8*$D$18</f>
        <v>7</v>
      </c>
      <c r="N18" s="36">
        <f>$E$8*$E$18</f>
        <v>9.799999999999999</v>
      </c>
      <c r="O18" s="40" t="s">
        <v>103</v>
      </c>
    </row>
    <row r="19" spans="1:15" ht="14.25">
      <c r="A19" t="s">
        <v>95</v>
      </c>
      <c r="B19" s="25">
        <v>4</v>
      </c>
      <c r="C19" s="35" t="s">
        <v>103</v>
      </c>
      <c r="D19" s="41">
        <f>1/F19</f>
        <v>0.7692307692307692</v>
      </c>
      <c r="E19" s="7">
        <v>1</v>
      </c>
      <c r="F19" s="7">
        <v>1.3</v>
      </c>
      <c r="H19" s="42">
        <v>0</v>
      </c>
      <c r="I19" s="36">
        <f>$D$9*$D$19</f>
        <v>8.307692307692308</v>
      </c>
      <c r="J19" s="25">
        <f>$D$9*$E$19</f>
        <v>10.8</v>
      </c>
      <c r="K19" s="43">
        <f>$D$9*$F$19</f>
        <v>14.040000000000001</v>
      </c>
      <c r="L19" s="42" t="s">
        <v>103</v>
      </c>
      <c r="M19" s="36">
        <f>$E$9*$D$19</f>
        <v>8.307692307692308</v>
      </c>
      <c r="N19" s="25">
        <f>$E$9*$E$19</f>
        <v>10.8</v>
      </c>
      <c r="O19" s="43">
        <f>$E$9*$F$19</f>
        <v>14.040000000000001</v>
      </c>
    </row>
    <row r="20" spans="1:15" ht="15" thickBot="1">
      <c r="A20" t="s">
        <v>96</v>
      </c>
      <c r="B20" s="25">
        <v>5</v>
      </c>
      <c r="C20" s="35" t="s">
        <v>103</v>
      </c>
      <c r="D20" s="35" t="s">
        <v>103</v>
      </c>
      <c r="E20" s="23">
        <f>1/F19</f>
        <v>0.7692307692307692</v>
      </c>
      <c r="F20" s="7">
        <v>1</v>
      </c>
      <c r="H20" s="44">
        <v>0</v>
      </c>
      <c r="I20" s="45">
        <v>0</v>
      </c>
      <c r="J20" s="46">
        <f>$D$10*$E$20</f>
        <v>11.230769230769232</v>
      </c>
      <c r="K20" s="47">
        <f>$D$10*$F$20</f>
        <v>14.600000000000001</v>
      </c>
      <c r="L20" s="44" t="s">
        <v>103</v>
      </c>
      <c r="M20" s="45" t="s">
        <v>103</v>
      </c>
      <c r="N20" s="46">
        <f>$E$10*$E$20</f>
        <v>11.230769230769232</v>
      </c>
      <c r="O20" s="47">
        <f>$E$10*$F$20</f>
        <v>14.600000000000001</v>
      </c>
    </row>
    <row r="21" spans="3:6" ht="14.25">
      <c r="C21" s="7"/>
      <c r="D21" s="7"/>
      <c r="E21" s="7"/>
      <c r="F21" s="7"/>
    </row>
    <row r="23" spans="2:5" ht="14.25">
      <c r="B23">
        <v>24</v>
      </c>
      <c r="C23" s="24">
        <v>1</v>
      </c>
      <c r="E23" t="e">
        <f>VLOOKUP(H16,Faktor2,2)</f>
        <v>#N/A</v>
      </c>
    </row>
    <row r="24" spans="2:3" ht="14.25">
      <c r="B24">
        <v>26</v>
      </c>
      <c r="C24" s="24">
        <v>1.5</v>
      </c>
    </row>
    <row r="25" spans="2:3" ht="14.25">
      <c r="B25">
        <v>36</v>
      </c>
      <c r="C25" s="24">
        <v>0.7</v>
      </c>
    </row>
    <row r="26" spans="2:3" ht="14.25">
      <c r="B26">
        <v>39</v>
      </c>
      <c r="C26" s="24">
        <v>1</v>
      </c>
    </row>
    <row r="27" spans="2:3" ht="14.25">
      <c r="B27">
        <v>42</v>
      </c>
      <c r="C27" s="24">
        <v>1.4</v>
      </c>
    </row>
    <row r="28" spans="2:3" ht="14.25">
      <c r="B28">
        <v>52</v>
      </c>
      <c r="C28" s="24">
        <v>0.7</v>
      </c>
    </row>
    <row r="29" spans="2:3" ht="14.25">
      <c r="B29">
        <v>56</v>
      </c>
      <c r="C29" s="24">
        <v>1</v>
      </c>
    </row>
    <row r="30" spans="2:3" ht="14.25">
      <c r="B30">
        <v>60</v>
      </c>
      <c r="C30" s="24">
        <v>1.3</v>
      </c>
    </row>
    <row r="31" spans="2:3" ht="14.25">
      <c r="B31">
        <v>70</v>
      </c>
      <c r="C31" s="24">
        <v>0.8</v>
      </c>
    </row>
    <row r="32" spans="2:3" ht="14.25">
      <c r="B32">
        <v>75</v>
      </c>
      <c r="C32" s="24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 Landbrugsrådgivning, Landscentret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Beregning af N-min og kvælstof</dc:title>
  <dc:subject/>
  <dc:creator>Leif Knudsen</dc:creator>
  <cp:keywords/>
  <dc:description/>
  <cp:lastModifiedBy>Nanna Hellum Kristensen</cp:lastModifiedBy>
  <cp:lastPrinted>2018-02-16T13:01:50Z</cp:lastPrinted>
  <dcterms:created xsi:type="dcterms:W3CDTF">2012-03-12T07:37:45Z</dcterms:created>
  <dcterms:modified xsi:type="dcterms:W3CDTF">2022-02-15T13:21:27Z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PageContent">
    <vt:lpwstr/>
  </property>
  <property fmtid="{D5CDD505-2E9C-101B-9397-08002B2CF9AE}" pid="3" name="HideInRollups">
    <vt:lpwstr>1</vt:lpwstr>
  </property>
  <property fmtid="{D5CDD505-2E9C-101B-9397-08002B2CF9AE}" pid="4" name="Projekter">
    <vt:lpwstr/>
  </property>
  <property fmtid="{D5CDD505-2E9C-101B-9397-08002B2CF9AE}" pid="5" name="Informationsserie">
    <vt:lpwstr/>
  </property>
  <property fmtid="{D5CDD505-2E9C-101B-9397-08002B2CF9AE}" pid="6" name="PublishingRollupImage">
    <vt:lpwstr/>
  </property>
  <property fmtid="{D5CDD505-2E9C-101B-9397-08002B2CF9AE}" pid="7" name="Noegleord">
    <vt:lpwstr/>
  </property>
  <property fmtid="{D5CDD505-2E9C-101B-9397-08002B2CF9AE}" pid="8" name="Nummer">
    <vt:lpwstr/>
  </property>
  <property fmtid="{D5CDD505-2E9C-101B-9397-08002B2CF9AE}" pid="9" name="Afsender">
    <vt:lpwstr>2</vt:lpwstr>
  </property>
  <property fmtid="{D5CDD505-2E9C-101B-9397-08002B2CF9AE}" pid="10" name="EnclosureFor">
    <vt:lpwstr/>
  </property>
  <property fmtid="{D5CDD505-2E9C-101B-9397-08002B2CF9AE}" pid="11" name="DisplayComments">
    <vt:lpwstr>1</vt:lpwstr>
  </property>
  <property fmtid="{D5CDD505-2E9C-101B-9397-08002B2CF9AE}" pid="12" name="WebInfoSubjects">
    <vt:lpwstr>14;#Planteavl</vt:lpwstr>
  </property>
  <property fmtid="{D5CDD505-2E9C-101B-9397-08002B2CF9AE}" pid="13" name="_dlc_DocId">
    <vt:lpwstr>LBINFO-2746-7</vt:lpwstr>
  </property>
  <property fmtid="{D5CDD505-2E9C-101B-9397-08002B2CF9AE}" pid="14" name="_dlc_DocIdItemGuid">
    <vt:lpwstr>37707326-66a4-41e2-8783-fc4e7ef6f26c</vt:lpwstr>
  </property>
  <property fmtid="{D5CDD505-2E9C-101B-9397-08002B2CF9AE}" pid="15" name="_dlc_DocIdUrl">
    <vt:lpwstr>https://www.landbrugsinfo.dk/Planteavl/Goedskning/Naeringsstoffer/Kvaelstof-N/Kvaelstofbehov-og-Nmin/_layouts/DocIdRedir.aspx?ID=LBINFO-2746-7, LBINFO-2746-7</vt:lpwstr>
  </property>
  <property fmtid="{D5CDD505-2E9C-101B-9397-08002B2CF9AE}" pid="16" name="Revisionsdato">
    <vt:lpwstr>2016-02-10T10:43:00Z</vt:lpwstr>
  </property>
  <property fmtid="{D5CDD505-2E9C-101B-9397-08002B2CF9AE}" pid="17" name="Ansvarligafdeling">
    <vt:lpwstr>33</vt:lpwstr>
  </property>
  <property fmtid="{D5CDD505-2E9C-101B-9397-08002B2CF9AE}" pid="18" name="PermalinkID">
    <vt:lpwstr>ab0ec981-8e27-46a3-ba0d-a30b243ec3d0</vt:lpwstr>
  </property>
  <property fmtid="{D5CDD505-2E9C-101B-9397-08002B2CF9AE}" pid="19" name="TaksonomiTaxHTField0">
    <vt:lpwstr/>
  </property>
  <property fmtid="{D5CDD505-2E9C-101B-9397-08002B2CF9AE}" pid="20" name="Audience">
    <vt:lpwstr/>
  </property>
  <property fmtid="{D5CDD505-2E9C-101B-9397-08002B2CF9AE}" pid="21" name="Bevillingsgivere">
    <vt:lpwstr/>
  </property>
  <property fmtid="{D5CDD505-2E9C-101B-9397-08002B2CF9AE}" pid="22" name="ArticleStartDate">
    <vt:lpwstr>2016-02-10T10:44:14Z</vt:lpwstr>
  </property>
  <property fmtid="{D5CDD505-2E9C-101B-9397-08002B2CF9AE}" pid="23" name="ArticleByLine">
    <vt:lpwstr/>
  </property>
  <property fmtid="{D5CDD505-2E9C-101B-9397-08002B2CF9AE}" pid="24" name="Bekraeftelsesdato">
    <vt:lpwstr>2016-02-10T10:43:00Z</vt:lpwstr>
  </property>
  <property fmtid="{D5CDD505-2E9C-101B-9397-08002B2CF9AE}" pid="25" name="HitCount">
    <vt:lpwstr>0</vt:lpwstr>
  </property>
  <property fmtid="{D5CDD505-2E9C-101B-9397-08002B2CF9AE}" pid="26" name="Taksonomi">
    <vt:lpwstr/>
  </property>
  <property fmtid="{D5CDD505-2E9C-101B-9397-08002B2CF9AE}" pid="27" name="PublishingImageCaption">
    <vt:lpwstr/>
  </property>
  <property fmtid="{D5CDD505-2E9C-101B-9397-08002B2CF9AE}" pid="28" name="NetSkabelonValue">
    <vt:lpwstr/>
  </property>
  <property fmtid="{D5CDD505-2E9C-101B-9397-08002B2CF9AE}" pid="29" name="PublishingContactEmail">
    <vt:lpwstr/>
  </property>
  <property fmtid="{D5CDD505-2E9C-101B-9397-08002B2CF9AE}" pid="30" name="Comments">
    <vt:lpwstr/>
  </property>
  <property fmtid="{D5CDD505-2E9C-101B-9397-08002B2CF9AE}" pid="31" name="display_urn:schemas-microsoft-com:office:office#Forfattere">
    <vt:lpwstr>Hans Spelling Østergaard (LCHSO)</vt:lpwstr>
  </property>
  <property fmtid="{D5CDD505-2E9C-101B-9397-08002B2CF9AE}" pid="32" name="Listekode">
    <vt:lpwstr/>
  </property>
  <property fmtid="{D5CDD505-2E9C-101B-9397-08002B2CF9AE}" pid="33" name="Arkiveringsdato">
    <vt:lpwstr>2017-02-09T00:00:00Z</vt:lpwstr>
  </property>
  <property fmtid="{D5CDD505-2E9C-101B-9397-08002B2CF9AE}" pid="34" name="GammelURL">
    <vt:lpwstr/>
  </property>
  <property fmtid="{D5CDD505-2E9C-101B-9397-08002B2CF9AE}" pid="35" name="WebInfoLawCodes">
    <vt:lpwstr/>
  </property>
  <property fmtid="{D5CDD505-2E9C-101B-9397-08002B2CF9AE}" pid="36" name="TaxCatchAll">
    <vt:lpwstr/>
  </property>
  <property fmtid="{D5CDD505-2E9C-101B-9397-08002B2CF9AE}" pid="37" name="PublishingPageImage">
    <vt:lpwstr/>
  </property>
  <property fmtid="{D5CDD505-2E9C-101B-9397-08002B2CF9AE}" pid="38" name="SummaryLinks">
    <vt:lpwstr>&lt;div title="_schemaversion" id="_3"&gt;
  &lt;div title="_view"&gt;
    &lt;span title="_columns"&gt;1&lt;/span&gt;
    &lt;span title="_linkstyle"&gt;&lt;/span&gt;
    &lt;span title="_groupstyle"&gt;&lt;/span&gt;
  &lt;/div&gt;
&lt;/div&gt;</vt:lpwstr>
  </property>
  <property fmtid="{D5CDD505-2E9C-101B-9397-08002B2CF9AE}" pid="39" name="Forfattere">
    <vt:lpwstr>16854;#i:0e.t|dlbr idp|lchso@prod.dli</vt:lpwstr>
  </property>
  <property fmtid="{D5CDD505-2E9C-101B-9397-08002B2CF9AE}" pid="40" name="Afrapportering">
    <vt:lpwstr/>
  </property>
  <property fmtid="{D5CDD505-2E9C-101B-9397-08002B2CF9AE}" pid="41" name="PublishingContactPicture">
    <vt:lpwstr/>
  </property>
  <property fmtid="{D5CDD505-2E9C-101B-9397-08002B2CF9AE}" pid="42" name="Ingen besked ved arkivering">
    <vt:lpwstr>1</vt:lpwstr>
  </property>
  <property fmtid="{D5CDD505-2E9C-101B-9397-08002B2CF9AE}" pid="43" name="IsHiddenFromRollup">
    <vt:lpwstr>1</vt:lpwstr>
  </property>
  <property fmtid="{D5CDD505-2E9C-101B-9397-08002B2CF9AE}" pid="44" name="WebInfoMultiSelect">
    <vt:lpwstr/>
  </property>
  <property fmtid="{D5CDD505-2E9C-101B-9397-08002B2CF9AE}" pid="45" name="PublishingContactName">
    <vt:lpwstr/>
  </property>
  <property fmtid="{D5CDD505-2E9C-101B-9397-08002B2CF9AE}" pid="46" name="Rettighedsgruppe">
    <vt:lpwstr>3</vt:lpwstr>
  </property>
  <property fmtid="{D5CDD505-2E9C-101B-9397-08002B2CF9AE}" pid="47" name="DynamicPublishingContent11">
    <vt:lpwstr/>
  </property>
  <property fmtid="{D5CDD505-2E9C-101B-9397-08002B2CF9AE}" pid="48" name="DynamicPublishingContent14">
    <vt:lpwstr/>
  </property>
  <property fmtid="{D5CDD505-2E9C-101B-9397-08002B2CF9AE}" pid="49" name="DynamicPublishingContent5">
    <vt:lpwstr/>
  </property>
  <property fmtid="{D5CDD505-2E9C-101B-9397-08002B2CF9AE}" pid="50" name="DynamicPublishingContent12">
    <vt:lpwstr/>
  </property>
  <property fmtid="{D5CDD505-2E9C-101B-9397-08002B2CF9AE}" pid="51" name="HeaderStyleDefinitions">
    <vt:lpwstr/>
  </property>
  <property fmtid="{D5CDD505-2E9C-101B-9397-08002B2CF9AE}" pid="52" name="DynamicPublishingContent4">
    <vt:lpwstr/>
  </property>
  <property fmtid="{D5CDD505-2E9C-101B-9397-08002B2CF9AE}" pid="53" name="Skribenter">
    <vt:lpwstr/>
  </property>
  <property fmtid="{D5CDD505-2E9C-101B-9397-08002B2CF9AE}" pid="54" name="PublishingVariationRelationshipLinkFieldID">
    <vt:lpwstr>, </vt:lpwstr>
  </property>
  <property fmtid="{D5CDD505-2E9C-101B-9397-08002B2CF9AE}" pid="55" name="DynamicPublishingContent7">
    <vt:lpwstr/>
  </property>
  <property fmtid="{D5CDD505-2E9C-101B-9397-08002B2CF9AE}" pid="56" name="ProjectID">
    <vt:lpwstr/>
  </property>
  <property fmtid="{D5CDD505-2E9C-101B-9397-08002B2CF9AE}" pid="57" name="DynamicPublishingContent6">
    <vt:lpwstr/>
  </property>
  <property fmtid="{D5CDD505-2E9C-101B-9397-08002B2CF9AE}" pid="58" name="DynamicPublishingContent1">
    <vt:lpwstr/>
  </property>
  <property fmtid="{D5CDD505-2E9C-101B-9397-08002B2CF9AE}" pid="59" name="DynamicPublishingContent13">
    <vt:lpwstr/>
  </property>
  <property fmtid="{D5CDD505-2E9C-101B-9397-08002B2CF9AE}" pid="60" name="PublishingVariationGroupID">
    <vt:lpwstr/>
  </property>
  <property fmtid="{D5CDD505-2E9C-101B-9397-08002B2CF9AE}" pid="61" name="DynamicPublishingContent0">
    <vt:lpwstr/>
  </property>
  <property fmtid="{D5CDD505-2E9C-101B-9397-08002B2CF9AE}" pid="62" name="DynamicPublishingContent3">
    <vt:lpwstr/>
  </property>
  <property fmtid="{D5CDD505-2E9C-101B-9397-08002B2CF9AE}" pid="63" name="Sorteringsorden">
    <vt:lpwstr/>
  </property>
  <property fmtid="{D5CDD505-2E9C-101B-9397-08002B2CF9AE}" pid="64" name="DynamicPublishingContent2">
    <vt:lpwstr/>
  </property>
  <property fmtid="{D5CDD505-2E9C-101B-9397-08002B2CF9AE}" pid="65" name="PublishingExpirationDate">
    <vt:lpwstr/>
  </property>
  <property fmtid="{D5CDD505-2E9C-101B-9397-08002B2CF9AE}" pid="66" name="PublishingStartDate">
    <vt:lpwstr/>
  </property>
  <property fmtid="{D5CDD505-2E9C-101B-9397-08002B2CF9AE}" pid="67" name="Kontaktpersoner">
    <vt:lpwstr/>
  </property>
  <property fmtid="{D5CDD505-2E9C-101B-9397-08002B2CF9AE}" pid="68" name="DynamicPublishingContent9">
    <vt:lpwstr/>
  </property>
  <property fmtid="{D5CDD505-2E9C-101B-9397-08002B2CF9AE}" pid="69" name="DynamicPublishingContent10">
    <vt:lpwstr/>
  </property>
  <property fmtid="{D5CDD505-2E9C-101B-9397-08002B2CF9AE}" pid="70" name="FinanceYear">
    <vt:lpwstr/>
  </property>
  <property fmtid="{D5CDD505-2E9C-101B-9397-08002B2CF9AE}" pid="71" name="PublishingContact">
    <vt:lpwstr/>
  </property>
  <property fmtid="{D5CDD505-2E9C-101B-9397-08002B2CF9AE}" pid="72" name="DynamicPublishingContent8">
    <vt:lpwstr/>
  </property>
  <property fmtid="{D5CDD505-2E9C-101B-9397-08002B2CF9AE}" pid="73" name="Solution ID">
    <vt:lpwstr>{15727DE6-F92D-4E46-ACB4-0E2C58B31A18}</vt:lpwstr>
  </property>
</Properties>
</file>