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6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L:\Erhvervsøkonomi\LandbrugsInfo\01-LandbrugsInfo\23-Promille\2017\"/>
    </mc:Choice>
  </mc:AlternateContent>
  <bookViews>
    <workbookView xWindow="1860" yWindow="1140" windowWidth="25605" windowHeight="16065" tabRatio="500"/>
  </bookViews>
  <sheets>
    <sheet name="1. Balance" sheetId="2" r:id="rId1"/>
    <sheet name="2. Finansiering" sheetId="4" r:id="rId2"/>
    <sheet name="3. Følsomhed" sheetId="5" r:id="rId3"/>
    <sheet name="Bidragssats" sheetId="7" r:id="rId4"/>
    <sheet name="Beregninger" sheetId="6" r:id="rId5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0" i="4" l="1"/>
  <c r="R20" i="6" l="1"/>
  <c r="B36" i="6"/>
  <c r="B42" i="6"/>
  <c r="B43" i="6"/>
  <c r="B44" i="6"/>
  <c r="C37" i="6"/>
  <c r="C42" i="6"/>
  <c r="C43" i="6"/>
  <c r="C44" i="6"/>
  <c r="D38" i="6"/>
  <c r="D39" i="6"/>
  <c r="D40" i="6"/>
  <c r="D42" i="6"/>
  <c r="D43" i="6"/>
  <c r="D44" i="6"/>
  <c r="E42" i="6"/>
  <c r="E43" i="6"/>
  <c r="E44" i="6"/>
  <c r="D10" i="2"/>
  <c r="D11" i="2"/>
  <c r="D12" i="2"/>
  <c r="D13" i="2"/>
  <c r="D14" i="2"/>
  <c r="D15" i="2"/>
  <c r="D16" i="2"/>
  <c r="D18" i="2"/>
  <c r="D20" i="2"/>
  <c r="D21" i="2"/>
  <c r="D22" i="2"/>
  <c r="D23" i="2" s="1"/>
  <c r="I22" i="2"/>
  <c r="I16" i="2"/>
  <c r="I18" i="2" s="1"/>
  <c r="I17" i="2"/>
  <c r="I10" i="2"/>
  <c r="AB61" i="6" s="1"/>
  <c r="I11" i="2"/>
  <c r="D17" i="4" s="1"/>
  <c r="I12" i="2"/>
  <c r="I13" i="2"/>
  <c r="I14" i="2"/>
  <c r="C16" i="6"/>
  <c r="D41" i="4"/>
  <c r="D40" i="4"/>
  <c r="D39" i="4"/>
  <c r="D33" i="4"/>
  <c r="D31" i="4"/>
  <c r="D24" i="4"/>
  <c r="AC73" i="6" s="1"/>
  <c r="D20" i="4"/>
  <c r="D7" i="4"/>
  <c r="D47" i="4"/>
  <c r="D42" i="4"/>
  <c r="D43" i="4"/>
  <c r="D34" i="4"/>
  <c r="D35" i="4"/>
  <c r="D25" i="4"/>
  <c r="D26" i="4"/>
  <c r="D27" i="4"/>
  <c r="D28" i="4"/>
  <c r="D29" i="4"/>
  <c r="D21" i="4"/>
  <c r="D22" i="4"/>
  <c r="L19" i="6" s="1"/>
  <c r="D8" i="4"/>
  <c r="D9" i="4"/>
  <c r="D10" i="4"/>
  <c r="D11" i="4"/>
  <c r="D12" i="4"/>
  <c r="L9" i="6" s="1"/>
  <c r="D13" i="4"/>
  <c r="D14" i="4"/>
  <c r="D15" i="4"/>
  <c r="C18" i="6"/>
  <c r="B16" i="6"/>
  <c r="B33" i="4"/>
  <c r="B31" i="4"/>
  <c r="K28" i="6" s="1"/>
  <c r="B24" i="4"/>
  <c r="B23" i="4" s="1"/>
  <c r="B20" i="4"/>
  <c r="B17" i="4"/>
  <c r="B45" i="4" s="1"/>
  <c r="B7" i="4"/>
  <c r="B6" i="4" s="1"/>
  <c r="B16" i="2"/>
  <c r="B25" i="2" s="1"/>
  <c r="G25" i="2" s="1"/>
  <c r="G24" i="2" s="1"/>
  <c r="B23" i="2"/>
  <c r="G18" i="2"/>
  <c r="G14" i="2"/>
  <c r="B47" i="4"/>
  <c r="B18" i="6"/>
  <c r="G8" i="4"/>
  <c r="B25" i="6"/>
  <c r="G9" i="4" s="1"/>
  <c r="K6" i="6" s="1"/>
  <c r="G10" i="4"/>
  <c r="C55" i="6"/>
  <c r="C56" i="6"/>
  <c r="C57" i="6"/>
  <c r="C58" i="6"/>
  <c r="C59" i="6"/>
  <c r="B60" i="6"/>
  <c r="C60" i="6" s="1"/>
  <c r="I14" i="4"/>
  <c r="I15" i="4"/>
  <c r="L13" i="6"/>
  <c r="H17" i="4"/>
  <c r="I17" i="4" s="1"/>
  <c r="L15" i="6"/>
  <c r="L16" i="6"/>
  <c r="L17" i="6"/>
  <c r="H21" i="4"/>
  <c r="I21" i="4" s="1"/>
  <c r="L18" i="6" s="1"/>
  <c r="L21" i="6"/>
  <c r="L25" i="6"/>
  <c r="L26" i="6"/>
  <c r="L29" i="6"/>
  <c r="L30" i="6"/>
  <c r="H34" i="4"/>
  <c r="I34" i="4" s="1"/>
  <c r="H35" i="4"/>
  <c r="I35" i="4" s="1"/>
  <c r="H36" i="4"/>
  <c r="I36" i="4"/>
  <c r="L33" i="6" s="1"/>
  <c r="M33" i="6" s="1"/>
  <c r="L34" i="6"/>
  <c r="D38" i="4"/>
  <c r="L35" i="6"/>
  <c r="H39" i="4"/>
  <c r="I39" i="4" s="1"/>
  <c r="L36" i="6" s="1"/>
  <c r="H40" i="4"/>
  <c r="I40" i="4" s="1"/>
  <c r="H41" i="4"/>
  <c r="I41" i="4"/>
  <c r="L38" i="6" s="1"/>
  <c r="H42" i="4"/>
  <c r="I42" i="4" s="1"/>
  <c r="L39" i="6" s="1"/>
  <c r="H43" i="4"/>
  <c r="I43" i="4" s="1"/>
  <c r="L40" i="6" s="1"/>
  <c r="L41" i="6"/>
  <c r="L43" i="6"/>
  <c r="H47" i="4"/>
  <c r="I47" i="4" s="1"/>
  <c r="L44" i="6" s="1"/>
  <c r="L45" i="6"/>
  <c r="K9" i="6"/>
  <c r="K10" i="6"/>
  <c r="K11" i="6"/>
  <c r="K12" i="6"/>
  <c r="K13" i="6"/>
  <c r="K15" i="6"/>
  <c r="K16" i="6"/>
  <c r="K17" i="6"/>
  <c r="K18" i="6"/>
  <c r="K19" i="6"/>
  <c r="K21" i="6"/>
  <c r="K22" i="6"/>
  <c r="K23" i="6"/>
  <c r="K24" i="6"/>
  <c r="K25" i="6"/>
  <c r="K26" i="6"/>
  <c r="K29" i="6"/>
  <c r="K31" i="6"/>
  <c r="K32" i="6"/>
  <c r="K33" i="6"/>
  <c r="K34" i="6"/>
  <c r="B38" i="4"/>
  <c r="K35" i="6" s="1"/>
  <c r="K36" i="6"/>
  <c r="K37" i="6"/>
  <c r="K38" i="6"/>
  <c r="K39" i="6"/>
  <c r="K40" i="6"/>
  <c r="K41" i="6"/>
  <c r="K43" i="6"/>
  <c r="K44" i="6"/>
  <c r="K45" i="6"/>
  <c r="AD73" i="6"/>
  <c r="R21" i="6"/>
  <c r="AA73" i="6"/>
  <c r="Z73" i="6"/>
  <c r="W73" i="6"/>
  <c r="V73" i="6"/>
  <c r="Z61" i="6"/>
  <c r="AA61" i="6"/>
  <c r="AD61" i="6"/>
  <c r="U61" i="6"/>
  <c r="X61" i="6"/>
  <c r="Y61" i="6"/>
  <c r="D23" i="4"/>
  <c r="F103" i="6"/>
  <c r="F88" i="4" s="1"/>
  <c r="M68" i="6"/>
  <c r="B55" i="6"/>
  <c r="F86" i="6"/>
  <c r="F80" i="4" s="1"/>
  <c r="F86" i="4"/>
  <c r="A98" i="6"/>
  <c r="A97" i="6" s="1"/>
  <c r="A89" i="6"/>
  <c r="A87" i="6"/>
  <c r="A81" i="4" s="1"/>
  <c r="F84" i="4"/>
  <c r="A80" i="4"/>
  <c r="H26" i="6"/>
  <c r="H10" i="6"/>
  <c r="H11" i="6"/>
  <c r="D55" i="6"/>
  <c r="D56" i="6"/>
  <c r="D57" i="6"/>
  <c r="D58" i="6"/>
  <c r="D59" i="6"/>
  <c r="D60" i="6"/>
  <c r="H12" i="6"/>
  <c r="E55" i="6"/>
  <c r="E56" i="6"/>
  <c r="E57" i="6"/>
  <c r="E58" i="6"/>
  <c r="E59" i="6"/>
  <c r="E60" i="6"/>
  <c r="B58" i="6"/>
  <c r="B56" i="6"/>
  <c r="B57" i="6"/>
  <c r="B59" i="6"/>
  <c r="H4" i="6"/>
  <c r="H5" i="6"/>
  <c r="H6" i="6"/>
  <c r="H7" i="6"/>
  <c r="H8" i="6"/>
  <c r="H9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3" i="6"/>
  <c r="C17" i="4"/>
  <c r="H31" i="4"/>
  <c r="C20" i="4"/>
  <c r="R4" i="6"/>
  <c r="R5" i="6"/>
  <c r="R6" i="6"/>
  <c r="R7" i="6"/>
  <c r="Q4" i="6"/>
  <c r="Q5" i="6"/>
  <c r="Q6" i="6"/>
  <c r="Q7" i="6"/>
  <c r="H23" i="7"/>
  <c r="H11" i="7"/>
  <c r="L26" i="7" s="1"/>
  <c r="N26" i="7" s="1"/>
  <c r="H12" i="7"/>
  <c r="H13" i="7"/>
  <c r="H26" i="7" s="1"/>
  <c r="H14" i="7"/>
  <c r="H30" i="7" s="1"/>
  <c r="H31" i="7" s="1"/>
  <c r="H32" i="7" s="1"/>
  <c r="J20" i="7"/>
  <c r="J21" i="7"/>
  <c r="J22" i="7"/>
  <c r="J36" i="7" s="1"/>
  <c r="J37" i="7" s="1"/>
  <c r="J38" i="7" s="1"/>
  <c r="J23" i="7"/>
  <c r="I20" i="7"/>
  <c r="I21" i="7"/>
  <c r="I22" i="7"/>
  <c r="I23" i="7"/>
  <c r="I36" i="7" s="1"/>
  <c r="I37" i="7" s="1"/>
  <c r="I38" i="7" s="1"/>
  <c r="H20" i="7"/>
  <c r="H36" i="7" s="1"/>
  <c r="H37" i="7" s="1"/>
  <c r="H38" i="7" s="1"/>
  <c r="H21" i="7"/>
  <c r="L36" i="7" s="1"/>
  <c r="N36" i="7" s="1"/>
  <c r="H22" i="7"/>
  <c r="L37" i="7" s="1"/>
  <c r="N37" i="7" s="1"/>
  <c r="G38" i="7"/>
  <c r="M37" i="7"/>
  <c r="G37" i="7"/>
  <c r="M36" i="7"/>
  <c r="G36" i="7"/>
  <c r="M35" i="7"/>
  <c r="J17" i="7"/>
  <c r="J18" i="7"/>
  <c r="J19" i="7"/>
  <c r="F20" i="7" s="1"/>
  <c r="I17" i="7"/>
  <c r="I33" i="7" s="1"/>
  <c r="I34" i="7" s="1"/>
  <c r="I35" i="7" s="1"/>
  <c r="I18" i="7"/>
  <c r="D20" i="7" s="1"/>
  <c r="I19" i="7"/>
  <c r="H17" i="7"/>
  <c r="H18" i="7"/>
  <c r="H19" i="7"/>
  <c r="M34" i="7" s="1"/>
  <c r="G35" i="7"/>
  <c r="G34" i="7"/>
  <c r="G33" i="7"/>
  <c r="J14" i="7"/>
  <c r="J30" i="7" s="1"/>
  <c r="J31" i="7" s="1"/>
  <c r="J32" i="7" s="1"/>
  <c r="J15" i="7"/>
  <c r="J16" i="7"/>
  <c r="I14" i="7"/>
  <c r="I15" i="7"/>
  <c r="I16" i="7"/>
  <c r="D17" i="7" s="1"/>
  <c r="H15" i="7"/>
  <c r="L30" i="7" s="1"/>
  <c r="H16" i="7"/>
  <c r="L31" i="7" s="1"/>
  <c r="G32" i="7"/>
  <c r="G31" i="7"/>
  <c r="G30" i="7"/>
  <c r="J11" i="7"/>
  <c r="J12" i="7"/>
  <c r="J13" i="7"/>
  <c r="J26" i="7"/>
  <c r="J27" i="7" s="1"/>
  <c r="J28" i="7" s="1"/>
  <c r="J29" i="7" s="1"/>
  <c r="I11" i="7"/>
  <c r="I26" i="7" s="1"/>
  <c r="I27" i="7" s="1"/>
  <c r="I28" i="7" s="1"/>
  <c r="I29" i="7" s="1"/>
  <c r="I12" i="7"/>
  <c r="I13" i="7"/>
  <c r="G29" i="7"/>
  <c r="M28" i="7"/>
  <c r="G28" i="7"/>
  <c r="M27" i="7"/>
  <c r="G27" i="7"/>
  <c r="M26" i="7"/>
  <c r="G26" i="7"/>
  <c r="D23" i="7"/>
  <c r="A23" i="7"/>
  <c r="A20" i="7"/>
  <c r="F17" i="7"/>
  <c r="F14" i="7"/>
  <c r="P10" i="7"/>
  <c r="P9" i="7"/>
  <c r="O10" i="7"/>
  <c r="O9" i="7"/>
  <c r="N10" i="7"/>
  <c r="N9" i="7"/>
  <c r="I7" i="7"/>
  <c r="C47" i="4"/>
  <c r="C31" i="4"/>
  <c r="C33" i="4"/>
  <c r="C38" i="4"/>
  <c r="C24" i="4"/>
  <c r="C7" i="4"/>
  <c r="C16" i="2"/>
  <c r="L38" i="7" l="1"/>
  <c r="L37" i="6"/>
  <c r="H27" i="7"/>
  <c r="H28" i="7" s="1"/>
  <c r="H29" i="7" s="1"/>
  <c r="M38" i="7"/>
  <c r="B49" i="4"/>
  <c r="Q8" i="6"/>
  <c r="Q9" i="6" s="1"/>
  <c r="L32" i="6"/>
  <c r="L31" i="6"/>
  <c r="L14" i="6"/>
  <c r="D25" i="2"/>
  <c r="I25" i="2" s="1"/>
  <c r="I24" i="2" s="1"/>
  <c r="D14" i="7"/>
  <c r="I30" i="7"/>
  <c r="I31" i="7" s="1"/>
  <c r="I32" i="7" s="1"/>
  <c r="L32" i="7"/>
  <c r="L33" i="7"/>
  <c r="L34" i="7"/>
  <c r="N34" i="7" s="1"/>
  <c r="H33" i="7"/>
  <c r="H34" i="7" s="1"/>
  <c r="H35" i="7" s="1"/>
  <c r="J33" i="7"/>
  <c r="J34" i="7" s="1"/>
  <c r="J35" i="7" s="1"/>
  <c r="W61" i="6"/>
  <c r="AC61" i="6"/>
  <c r="T73" i="6"/>
  <c r="X73" i="6"/>
  <c r="AB73" i="6"/>
  <c r="T61" i="6"/>
  <c r="V61" i="6"/>
  <c r="U73" i="6"/>
  <c r="Y73" i="6"/>
  <c r="A17" i="7"/>
  <c r="F23" i="7"/>
  <c r="L27" i="7"/>
  <c r="N27" i="7" s="1"/>
  <c r="L28" i="7"/>
  <c r="N28" i="7" s="1"/>
  <c r="M29" i="7"/>
  <c r="M30" i="7"/>
  <c r="N30" i="7" s="1"/>
  <c r="M31" i="7"/>
  <c r="N31" i="7" s="1"/>
  <c r="L35" i="7"/>
  <c r="N35" i="7" s="1"/>
  <c r="A14" i="7"/>
  <c r="L29" i="7"/>
  <c r="N29" i="7" s="1"/>
  <c r="M32" i="7"/>
  <c r="M33" i="7"/>
  <c r="D6" i="4"/>
  <c r="A84" i="4"/>
  <c r="C30" i="6"/>
  <c r="B46" i="6" s="1"/>
  <c r="K46" i="6"/>
  <c r="K50" i="6" s="1"/>
  <c r="L11" i="6"/>
  <c r="M11" i="6" s="1"/>
  <c r="L12" i="6"/>
  <c r="M12" i="6" s="1"/>
  <c r="K5" i="6"/>
  <c r="G11" i="4"/>
  <c r="K8" i="6" s="1"/>
  <c r="M44" i="6"/>
  <c r="M41" i="6"/>
  <c r="M35" i="6"/>
  <c r="W74" i="6"/>
  <c r="M39" i="6"/>
  <c r="K14" i="6"/>
  <c r="M14" i="6" s="1"/>
  <c r="B50" i="4"/>
  <c r="K42" i="6"/>
  <c r="K30" i="6"/>
  <c r="M30" i="6" s="1"/>
  <c r="M25" i="6"/>
  <c r="M43" i="6"/>
  <c r="M34" i="6"/>
  <c r="M32" i="6"/>
  <c r="L28" i="6"/>
  <c r="M19" i="6"/>
  <c r="M9" i="6"/>
  <c r="AD74" i="6"/>
  <c r="E45" i="6"/>
  <c r="AD62" i="6"/>
  <c r="Y74" i="6"/>
  <c r="K7" i="6"/>
  <c r="M18" i="6"/>
  <c r="D45" i="4"/>
  <c r="M45" i="6"/>
  <c r="V62" i="6"/>
  <c r="U74" i="6"/>
  <c r="AC74" i="6"/>
  <c r="C29" i="6"/>
  <c r="E61" i="6"/>
  <c r="X62" i="6"/>
  <c r="Z62" i="6"/>
  <c r="AA74" i="6"/>
  <c r="D45" i="6"/>
  <c r="C45" i="6"/>
  <c r="B45" i="6"/>
  <c r="C61" i="6"/>
  <c r="D61" i="6"/>
  <c r="E29" i="6"/>
  <c r="AB62" i="6"/>
  <c r="M38" i="6"/>
  <c r="M26" i="6"/>
  <c r="M13" i="6"/>
  <c r="M40" i="6"/>
  <c r="T62" i="6"/>
  <c r="F30" i="6"/>
  <c r="E46" i="6" s="1"/>
  <c r="D28" i="6"/>
  <c r="Y62" i="6"/>
  <c r="W62" i="6"/>
  <c r="U62" i="6"/>
  <c r="AC62" i="6"/>
  <c r="AA62" i="6"/>
  <c r="T74" i="6"/>
  <c r="V74" i="6"/>
  <c r="X74" i="6"/>
  <c r="Z74" i="6"/>
  <c r="AB74" i="6"/>
  <c r="C28" i="6"/>
  <c r="C27" i="6"/>
  <c r="D29" i="6"/>
  <c r="E30" i="6"/>
  <c r="D46" i="6" s="1"/>
  <c r="D30" i="6"/>
  <c r="C46" i="6" s="1"/>
  <c r="B77" i="4" l="1"/>
  <c r="N32" i="7"/>
  <c r="N38" i="7"/>
  <c r="N33" i="7"/>
  <c r="AB48" i="6"/>
  <c r="U48" i="6"/>
  <c r="Y48" i="6"/>
  <c r="H24" i="2"/>
  <c r="C49" i="4" s="1"/>
  <c r="AC48" i="6"/>
  <c r="V48" i="6"/>
  <c r="D49" i="4"/>
  <c r="Z48" i="6"/>
  <c r="AD48" i="6"/>
  <c r="W48" i="6"/>
  <c r="AA48" i="6"/>
  <c r="T48" i="6"/>
  <c r="X48" i="6"/>
  <c r="R8" i="6"/>
  <c r="R9" i="6" s="1"/>
  <c r="K51" i="6"/>
  <c r="K48" i="6"/>
  <c r="G51" i="4" s="1"/>
  <c r="B47" i="6"/>
  <c r="D47" i="6"/>
  <c r="B56" i="4"/>
  <c r="A6" i="6" s="1"/>
  <c r="D6" i="6" s="1"/>
  <c r="C47" i="6"/>
  <c r="L42" i="6"/>
  <c r="M42" i="6" s="1"/>
  <c r="B51" i="4"/>
  <c r="E47" i="6"/>
  <c r="D50" i="4"/>
  <c r="B55" i="4"/>
  <c r="M11" i="7" s="1"/>
  <c r="B6" i="6" l="1"/>
  <c r="K52" i="6"/>
  <c r="K53" i="6" s="1"/>
  <c r="K54" i="6" s="1"/>
  <c r="G52" i="4" s="1"/>
  <c r="C6" i="6"/>
  <c r="B17" i="6" s="1"/>
  <c r="B19" i="6" s="1"/>
  <c r="F47" i="6"/>
  <c r="N11" i="7"/>
  <c r="O11" i="7"/>
  <c r="P11" i="7"/>
  <c r="D51" i="4"/>
  <c r="C50" i="4"/>
  <c r="L55" i="6" s="1"/>
  <c r="M69" i="6" s="1"/>
  <c r="D56" i="4"/>
  <c r="A12" i="6" s="1"/>
  <c r="D55" i="4"/>
  <c r="M12" i="7" s="1"/>
  <c r="V24" i="6" l="1"/>
  <c r="T24" i="6"/>
  <c r="U24" i="6"/>
  <c r="W24" i="6"/>
  <c r="F48" i="6"/>
  <c r="M47" i="4" s="1"/>
  <c r="P12" i="7"/>
  <c r="N12" i="7"/>
  <c r="O12" i="7"/>
  <c r="C12" i="6"/>
  <c r="C17" i="6" s="1"/>
  <c r="C19" i="6" s="1"/>
  <c r="D19" i="6" s="1"/>
  <c r="H7" i="4" s="1"/>
  <c r="M48" i="4" s="1"/>
  <c r="M49" i="4" s="1"/>
  <c r="D12" i="6"/>
  <c r="B12" i="6"/>
  <c r="I7" i="4" l="1"/>
  <c r="H12" i="4"/>
  <c r="H8" i="4"/>
  <c r="I8" i="4" s="1"/>
  <c r="H26" i="4"/>
  <c r="I26" i="4" s="1"/>
  <c r="H10" i="4"/>
  <c r="I10" i="4" s="1"/>
  <c r="H9" i="4"/>
  <c r="I9" i="4" s="1"/>
  <c r="H11" i="4"/>
  <c r="I11" i="4" s="1"/>
  <c r="H27" i="4"/>
  <c r="I27" i="4" s="1"/>
  <c r="H25" i="4"/>
  <c r="I25" i="4" s="1"/>
  <c r="H28" i="4"/>
  <c r="S25" i="6"/>
  <c r="A82" i="6"/>
  <c r="A94" i="6"/>
  <c r="L8" i="6" l="1"/>
  <c r="M8" i="6" s="1"/>
  <c r="L23" i="6"/>
  <c r="M23" i="6" s="1"/>
  <c r="L6" i="6"/>
  <c r="M6" i="6" s="1"/>
  <c r="L5" i="6"/>
  <c r="L24" i="6"/>
  <c r="M24" i="6" s="1"/>
  <c r="L22" i="6"/>
  <c r="M22" i="6" s="1"/>
  <c r="L7" i="6"/>
  <c r="M7" i="6" s="1"/>
  <c r="H49" i="4"/>
  <c r="I49" i="4" s="1"/>
  <c r="A106" i="6"/>
  <c r="F92" i="6"/>
  <c r="F99" i="6"/>
  <c r="R23" i="6"/>
  <c r="I13" i="4"/>
  <c r="U25" i="6"/>
  <c r="T25" i="6"/>
  <c r="V25" i="6"/>
  <c r="W25" i="6"/>
  <c r="M5" i="6"/>
  <c r="D77" i="4" l="1"/>
  <c r="I50" i="4"/>
  <c r="A87" i="4"/>
  <c r="L46" i="6"/>
  <c r="L50" i="6" s="1"/>
  <c r="L10" i="6"/>
  <c r="M10" i="6" s="1"/>
  <c r="R22" i="6"/>
  <c r="F83" i="4"/>
  <c r="F90" i="6"/>
  <c r="L51" i="6" l="1"/>
  <c r="M51" i="6" s="1"/>
  <c r="M70" i="6" s="1"/>
  <c r="M71" i="6" s="1"/>
  <c r="M72" i="6" s="1"/>
  <c r="M46" i="6"/>
  <c r="L52" i="6"/>
  <c r="M52" i="6" s="1"/>
  <c r="M50" i="6"/>
  <c r="O50" i="6" s="1"/>
  <c r="L48" i="6"/>
  <c r="L53" i="6" l="1"/>
  <c r="M53" i="6" s="1"/>
  <c r="I77" i="4" s="1"/>
  <c r="F97" i="6" s="1"/>
  <c r="N50" i="6"/>
  <c r="L54" i="6"/>
  <c r="M54" i="6" s="1"/>
  <c r="M60" i="6" s="1"/>
  <c r="R29" i="6" s="1"/>
  <c r="A96" i="6"/>
  <c r="A102" i="6" s="1"/>
  <c r="I52" i="4"/>
  <c r="M48" i="6"/>
  <c r="L58" i="6" s="1"/>
  <c r="R27" i="6" s="1"/>
  <c r="H55" i="4" s="1"/>
  <c r="I51" i="4"/>
  <c r="F89" i="6"/>
  <c r="F82" i="4" s="1"/>
  <c r="A84" i="6"/>
  <c r="A79" i="4" s="1"/>
  <c r="A92" i="6"/>
  <c r="F82" i="6" l="1"/>
  <c r="F79" i="4" s="1"/>
  <c r="N53" i="6"/>
  <c r="M55" i="6"/>
  <c r="O53" i="6"/>
  <c r="O55" i="6" s="1"/>
  <c r="A86" i="4"/>
  <c r="A104" i="6"/>
  <c r="X65" i="6"/>
  <c r="X67" i="6" s="1"/>
  <c r="W75" i="6"/>
  <c r="W52" i="6"/>
  <c r="W54" i="6" s="1"/>
  <c r="U63" i="6"/>
  <c r="Z77" i="6"/>
  <c r="Z79" i="6" s="1"/>
  <c r="V75" i="6"/>
  <c r="AD75" i="6"/>
  <c r="AB52" i="6"/>
  <c r="AB54" i="6" s="1"/>
  <c r="Z52" i="6"/>
  <c r="Z54" i="6" s="1"/>
  <c r="Y65" i="6"/>
  <c r="Y67" i="6" s="1"/>
  <c r="X63" i="6"/>
  <c r="AC50" i="6"/>
  <c r="T77" i="6"/>
  <c r="T79" i="6" s="1"/>
  <c r="AD65" i="6"/>
  <c r="AD67" i="6" s="1"/>
  <c r="U77" i="6"/>
  <c r="U79" i="6" s="1"/>
  <c r="V77" i="6"/>
  <c r="V79" i="6" s="1"/>
  <c r="W63" i="6"/>
  <c r="V63" i="6"/>
  <c r="Z63" i="6"/>
  <c r="U65" i="6"/>
  <c r="U67" i="6" s="1"/>
  <c r="T52" i="6"/>
  <c r="T54" i="6" s="1"/>
  <c r="AC65" i="6"/>
  <c r="AC67" i="6" s="1"/>
  <c r="V50" i="6"/>
  <c r="U75" i="6"/>
  <c r="Z50" i="6"/>
  <c r="W77" i="6"/>
  <c r="W79" i="6" s="1"/>
  <c r="V65" i="6"/>
  <c r="V67" i="6" s="1"/>
  <c r="AA75" i="6"/>
  <c r="Y63" i="6"/>
  <c r="T63" i="6"/>
  <c r="N55" i="6"/>
  <c r="N60" i="6" s="1"/>
  <c r="V29" i="6" s="1"/>
  <c r="H59" i="4" s="1"/>
  <c r="H65" i="4" s="1"/>
  <c r="O60" i="6"/>
  <c r="W29" i="6" s="1"/>
  <c r="V52" i="6"/>
  <c r="V54" i="6" s="1"/>
  <c r="AC52" i="6"/>
  <c r="AC54" i="6" s="1"/>
  <c r="AA52" i="6"/>
  <c r="AA54" i="6" s="1"/>
  <c r="AB65" i="6"/>
  <c r="AB67" i="6" s="1"/>
  <c r="AA65" i="6"/>
  <c r="AA67" i="6" s="1"/>
  <c r="AD52" i="6"/>
  <c r="AD54" i="6" s="1"/>
  <c r="X50" i="6"/>
  <c r="Y75" i="6"/>
  <c r="Y50" i="6"/>
  <c r="AB63" i="6"/>
  <c r="T75" i="6"/>
  <c r="AC75" i="6"/>
  <c r="AC63" i="6"/>
  <c r="AB50" i="6"/>
  <c r="AD50" i="6"/>
  <c r="X75" i="6"/>
  <c r="T29" i="6"/>
  <c r="T31" i="6" s="1"/>
  <c r="T27" i="6"/>
  <c r="Y52" i="6"/>
  <c r="Y54" i="6" s="1"/>
  <c r="Z65" i="6"/>
  <c r="Z67" i="6" s="1"/>
  <c r="AD77" i="6"/>
  <c r="AD79" i="6" s="1"/>
  <c r="AC77" i="6"/>
  <c r="AC79" i="6" s="1"/>
  <c r="AA77" i="6"/>
  <c r="AA79" i="6" s="1"/>
  <c r="Y77" i="6"/>
  <c r="Y79" i="6" s="1"/>
  <c r="X52" i="6"/>
  <c r="X54" i="6" s="1"/>
  <c r="AB77" i="6"/>
  <c r="AB79" i="6" s="1"/>
  <c r="U52" i="6"/>
  <c r="U54" i="6" s="1"/>
  <c r="X77" i="6"/>
  <c r="X79" i="6" s="1"/>
  <c r="T65" i="6"/>
  <c r="T67" i="6" s="1"/>
  <c r="W65" i="6"/>
  <c r="W67" i="6" s="1"/>
  <c r="AA63" i="6"/>
  <c r="W50" i="6"/>
  <c r="T50" i="6"/>
  <c r="AB75" i="6"/>
  <c r="U50" i="6"/>
  <c r="AD63" i="6"/>
  <c r="AA50" i="6"/>
  <c r="Z75" i="6"/>
  <c r="R31" i="6"/>
  <c r="U29" i="6"/>
  <c r="U31" i="6" s="1"/>
  <c r="AD38" i="6"/>
  <c r="U27" i="6"/>
  <c r="H57" i="4"/>
  <c r="H63" i="4" s="1"/>
  <c r="U38" i="6"/>
  <c r="AC38" i="6"/>
  <c r="V38" i="6"/>
  <c r="W27" i="6"/>
  <c r="Y38" i="6"/>
  <c r="AB38" i="6"/>
  <c r="V27" i="6"/>
  <c r="X38" i="6"/>
  <c r="T38" i="6"/>
  <c r="Z38" i="6"/>
  <c r="W38" i="6"/>
  <c r="AA38" i="6"/>
  <c r="A83" i="4"/>
  <c r="AC40" i="6"/>
  <c r="AC42" i="6" s="1"/>
  <c r="W40" i="6"/>
  <c r="W42" i="6" s="1"/>
  <c r="Z40" i="6"/>
  <c r="Z42" i="6" s="1"/>
  <c r="AB40" i="6"/>
  <c r="AB42" i="6" s="1"/>
  <c r="T40" i="6"/>
  <c r="T42" i="6" s="1"/>
  <c r="X40" i="6"/>
  <c r="X42" i="6" s="1"/>
  <c r="Y40" i="6"/>
  <c r="Y42" i="6" s="1"/>
  <c r="AD40" i="6"/>
  <c r="AD42" i="6" s="1"/>
  <c r="U40" i="6"/>
  <c r="U42" i="6" s="1"/>
  <c r="F101" i="6"/>
  <c r="F87" i="4" s="1"/>
  <c r="V40" i="6"/>
  <c r="V42" i="6" s="1"/>
  <c r="AA40" i="6"/>
  <c r="AA42" i="6" s="1"/>
  <c r="V31" i="6" l="1"/>
  <c r="W31" i="6"/>
  <c r="H60" i="4"/>
  <c r="H66" i="4" s="1"/>
  <c r="H58" i="4"/>
  <c r="H64" i="4" s="1"/>
</calcChain>
</file>

<file path=xl/comments1.xml><?xml version="1.0" encoding="utf-8"?>
<comments xmlns="http://schemas.openxmlformats.org/spreadsheetml/2006/main">
  <authors>
    <author>Michael Vestergaard Nielsen</author>
  </authors>
  <commentList>
    <comment ref="A26" authorId="0" shapeId="0">
      <text>
        <r>
          <rPr>
            <b/>
            <sz val="9"/>
            <color indexed="81"/>
            <rFont val="Tahoma"/>
            <family val="2"/>
          </rPr>
          <t xml:space="preserve">Forklaring:
</t>
        </r>
        <r>
          <rPr>
            <sz val="9"/>
            <color indexed="81"/>
            <rFont val="Tahoma"/>
            <family val="2"/>
          </rPr>
          <t>"Årets resultat før skat" reguleret for "Tilbageførsel i alt" og "Privat udtræk, skat og pension i alt"</t>
        </r>
      </text>
    </comment>
  </commentList>
</comments>
</file>

<file path=xl/comments2.xml><?xml version="1.0" encoding="utf-8"?>
<comments xmlns="http://schemas.openxmlformats.org/spreadsheetml/2006/main">
  <authors>
    <author>Jens-Martin Bramsen</author>
  </authors>
  <commentList>
    <comment ref="G25" authorId="0" shapeId="0">
      <text>
        <r>
          <rPr>
            <b/>
            <sz val="9"/>
            <color indexed="81"/>
            <rFont val="Calibri"/>
            <family val="2"/>
          </rPr>
          <t>Jens-Martin Bramsen:</t>
        </r>
        <r>
          <rPr>
            <sz val="9"/>
            <color indexed="81"/>
            <rFont val="Calibri"/>
            <family val="2"/>
          </rPr>
          <t xml:space="preserve">
Rente fra regnskabsdatabase</t>
        </r>
      </text>
    </comment>
    <comment ref="I29" authorId="0" shapeId="0">
      <text>
        <r>
          <rPr>
            <b/>
            <sz val="9"/>
            <color indexed="81"/>
            <rFont val="Calibri"/>
            <family val="2"/>
          </rPr>
          <t>Jens-Martin Bramsen:</t>
        </r>
        <r>
          <rPr>
            <sz val="9"/>
            <color indexed="81"/>
            <rFont val="Calibri"/>
            <family val="2"/>
          </rPr>
          <t xml:space="preserve">
Skal indtastes</t>
        </r>
      </text>
    </comment>
  </commentList>
</comments>
</file>

<file path=xl/sharedStrings.xml><?xml version="1.0" encoding="utf-8"?>
<sst xmlns="http://schemas.openxmlformats.org/spreadsheetml/2006/main" count="286" uniqueCount="196">
  <si>
    <t>Driftsbygninger og installationer</t>
  </si>
  <si>
    <t>Passiver</t>
  </si>
  <si>
    <t>Realkredit</t>
  </si>
  <si>
    <t>Hensættelser</t>
  </si>
  <si>
    <t>Egenkapital</t>
  </si>
  <si>
    <t>Efter</t>
  </si>
  <si>
    <t>Bidragssats</t>
  </si>
  <si>
    <t>Kassekredit</t>
  </si>
  <si>
    <t>Anden gæld</t>
  </si>
  <si>
    <t>Vækstlån</t>
  </si>
  <si>
    <t>Kreds nummer</t>
  </si>
  <si>
    <t>Ejendoms nummer</t>
  </si>
  <si>
    <t>Balance</t>
  </si>
  <si>
    <t>Aktiver i alt</t>
  </si>
  <si>
    <t>Ændring</t>
  </si>
  <si>
    <t>Nu</t>
  </si>
  <si>
    <t xml:space="preserve">Aktiver </t>
  </si>
  <si>
    <t xml:space="preserve">Jord </t>
  </si>
  <si>
    <t>Anlægsaktiver i alt</t>
  </si>
  <si>
    <t>Beholdninger</t>
  </si>
  <si>
    <t>Tilgodehavender</t>
  </si>
  <si>
    <t>Likvide beholdninger</t>
  </si>
  <si>
    <t>Omsætningsaktiver i alt</t>
  </si>
  <si>
    <t>Pante- og gældsbreve</t>
  </si>
  <si>
    <t>Anden langfristet gæld</t>
  </si>
  <si>
    <t>Langfristet gældsforpligtigelser, i alt</t>
  </si>
  <si>
    <t>Pengeinstitutter</t>
  </si>
  <si>
    <t>Leverandører</t>
  </si>
  <si>
    <t>Kortfristede gældsforpligtigelser, i alt</t>
  </si>
  <si>
    <t>Passiver i alt</t>
  </si>
  <si>
    <t>Aktiver udenfor landbrug</t>
  </si>
  <si>
    <t>Beboelse</t>
  </si>
  <si>
    <t>Andre anlægsaktiver (besætning, rettigheder mv)</t>
  </si>
  <si>
    <t>Inventar markbrug og andet</t>
  </si>
  <si>
    <t>Finansiering</t>
  </si>
  <si>
    <t>Bruger</t>
  </si>
  <si>
    <t>korrektion</t>
  </si>
  <si>
    <t>Fast forrentet med afdrag</t>
  </si>
  <si>
    <t>Variabelt forrentet med afdrag</t>
  </si>
  <si>
    <t>Variabel forrentet med afdragsfrihed</t>
  </si>
  <si>
    <t>Div andre realkredit</t>
  </si>
  <si>
    <t>Rækkefølge ifht sikkerhed</t>
  </si>
  <si>
    <t>Maskingæld</t>
  </si>
  <si>
    <t xml:space="preserve"> (med sikkerhedsstillelse)</t>
  </si>
  <si>
    <t>Banklån med afdrag</t>
  </si>
  <si>
    <t>Banklån uden afdrag</t>
  </si>
  <si>
    <r>
      <t xml:space="preserve">Pengeinsitutter </t>
    </r>
    <r>
      <rPr>
        <sz val="11"/>
        <color theme="1"/>
        <rFont val="Calibri"/>
        <family val="2"/>
        <scheme val="minor"/>
      </rPr>
      <t>(til fordeling)</t>
    </r>
  </si>
  <si>
    <t>Pantebreve uden sikkerhed</t>
  </si>
  <si>
    <r>
      <rPr>
        <b/>
        <sz val="14"/>
        <color theme="1"/>
        <rFont val="Calibri"/>
        <family val="2"/>
        <scheme val="minor"/>
      </rPr>
      <t>Realkredit: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(til fordeling)</t>
    </r>
  </si>
  <si>
    <t>Inventar husdyr</t>
  </si>
  <si>
    <t>Langfristet gæld uden sikkerhed</t>
  </si>
  <si>
    <r>
      <rPr>
        <b/>
        <sz val="14"/>
        <color theme="1"/>
        <rFont val="Calibri"/>
        <family val="2"/>
        <scheme val="minor"/>
      </rPr>
      <t>Langfristet gæld uden sikkerhed:</t>
    </r>
  </si>
  <si>
    <t>Anden gæld, herunder leverandører</t>
  </si>
  <si>
    <t>Gæld udenfor landbrug</t>
  </si>
  <si>
    <t>Moms og afgifter</t>
  </si>
  <si>
    <t>Øvrige</t>
  </si>
  <si>
    <t>Div andre lån med sikkerhed</t>
  </si>
  <si>
    <t>Andre banklån</t>
  </si>
  <si>
    <t>Div andre lån uden sikkerhed</t>
  </si>
  <si>
    <t>Rentesatser inkl bidrag mv</t>
  </si>
  <si>
    <t>Forudsætninger</t>
  </si>
  <si>
    <t>Inflationsforventninger</t>
  </si>
  <si>
    <t>Beskatningspct</t>
  </si>
  <si>
    <t xml:space="preserve"> </t>
  </si>
  <si>
    <t>Gældsprocent*</t>
  </si>
  <si>
    <t>Middel</t>
  </si>
  <si>
    <t>Gældsprocent</t>
  </si>
  <si>
    <t>Gældsprocent før:</t>
  </si>
  <si>
    <t xml:space="preserve">Gældsprocent efter: </t>
  </si>
  <si>
    <t>Før:</t>
  </si>
  <si>
    <t>Dårlig</t>
  </si>
  <si>
    <t>God</t>
  </si>
  <si>
    <t>Årlige rentebetalinger</t>
  </si>
  <si>
    <t>Før</t>
  </si>
  <si>
    <t>I alt</t>
  </si>
  <si>
    <t>Diagrammer</t>
  </si>
  <si>
    <t>Bank</t>
  </si>
  <si>
    <t>Andet</t>
  </si>
  <si>
    <t>Likviditetsskabelse</t>
  </si>
  <si>
    <t>Likvidtetsskabelse</t>
  </si>
  <si>
    <t>Egenkapitalforrentning</t>
  </si>
  <si>
    <t>Følsomhed</t>
  </si>
  <si>
    <t>Inflation</t>
  </si>
  <si>
    <t>Ændring i balance</t>
  </si>
  <si>
    <t>Mariginalrente, brutto</t>
  </si>
  <si>
    <t>Udgangspunkt</t>
  </si>
  <si>
    <t>Marginalrente, efter skat</t>
  </si>
  <si>
    <t>Beskatning</t>
  </si>
  <si>
    <t>Egenkapitalens forrentning</t>
  </si>
  <si>
    <t>Procentpoint</t>
  </si>
  <si>
    <t>Renteændring, absolutte</t>
  </si>
  <si>
    <t>Renteændring, absolut</t>
  </si>
  <si>
    <t>Procent</t>
  </si>
  <si>
    <t>Kalkulationsrente efter skat og inflation</t>
  </si>
  <si>
    <t>Bankrente</t>
  </si>
  <si>
    <t>Følsomhedsanalyse</t>
  </si>
  <si>
    <t>Skatteværdi</t>
  </si>
  <si>
    <t>(Gældsprocent set fra kreditgiver)</t>
  </si>
  <si>
    <t>Renterisiko</t>
  </si>
  <si>
    <t>Effektiv rente kontantlån (kilde RD.dk 10/11)</t>
  </si>
  <si>
    <t>Før skat</t>
  </si>
  <si>
    <t>Renter dags dato</t>
  </si>
  <si>
    <t>30 år</t>
  </si>
  <si>
    <t xml:space="preserve">20 år </t>
  </si>
  <si>
    <t>10 år</t>
  </si>
  <si>
    <t>Jord</t>
  </si>
  <si>
    <t>Bygning+beboelse</t>
  </si>
  <si>
    <t>Inventar</t>
  </si>
  <si>
    <t>Maskiner - maskingæld</t>
  </si>
  <si>
    <t>Andre anlægsaktiver</t>
  </si>
  <si>
    <t>Ekstra rente</t>
  </si>
  <si>
    <t>Ekstra rentesats</t>
  </si>
  <si>
    <t>Ektra krav til egenkapital</t>
  </si>
  <si>
    <t>Forskel</t>
  </si>
  <si>
    <t>Etableringslån (ansvarlig lån)</t>
  </si>
  <si>
    <t>Dansk landbrugskapital (ansvarlig lån)</t>
  </si>
  <si>
    <t>Gæld i alt</t>
  </si>
  <si>
    <t>WACC, før skat</t>
  </si>
  <si>
    <t>WACC, efter skat</t>
  </si>
  <si>
    <t>Hjælp til Egenkapitalens forentning</t>
  </si>
  <si>
    <t>Topskat (56%)</t>
  </si>
  <si>
    <t>Virksomhedsskat (22%)</t>
  </si>
  <si>
    <t>Kalkulationsrente for investering</t>
  </si>
  <si>
    <t>Inflationskorrigeret afkastkrav</t>
  </si>
  <si>
    <t>Alm personskat (40%)</t>
  </si>
  <si>
    <t>Ingen skatteevne (0% marginalskat)</t>
  </si>
  <si>
    <t>Beregning masksimal EK-forentning</t>
  </si>
  <si>
    <t>Rentebetaling, i alt</t>
  </si>
  <si>
    <t>Renter efter skat</t>
  </si>
  <si>
    <t>Afkast</t>
  </si>
  <si>
    <t>Dropdown menu, returnerer</t>
  </si>
  <si>
    <t>Sum</t>
  </si>
  <si>
    <t>Difference bidragssats</t>
  </si>
  <si>
    <t>30 årig fastforrentet uden afdrag</t>
  </si>
  <si>
    <t>30 årig fastforrentet med afdrag</t>
  </si>
  <si>
    <t>20 årig fastforrentet med afdrag</t>
  </si>
  <si>
    <t>10 årig fastforrent med afdrag</t>
  </si>
  <si>
    <t>5 årig rentetilpasning (F5)</t>
  </si>
  <si>
    <t>1 årig rentetilpasning (F1)</t>
  </si>
  <si>
    <t>--Nyt lån--</t>
  </si>
  <si>
    <t>Drop down, nye lån</t>
  </si>
  <si>
    <t>Nyt lån 1</t>
  </si>
  <si>
    <t>rente=</t>
  </si>
  <si>
    <t>Nyt lån 2</t>
  </si>
  <si>
    <t>Nyt lån 3</t>
  </si>
  <si>
    <t>Renteforskel efter skat</t>
  </si>
  <si>
    <t>10 årig fastforrentet med afdrag</t>
  </si>
  <si>
    <t>5 år</t>
  </si>
  <si>
    <t>Fast forrentet uden afdrag</t>
  </si>
  <si>
    <t>En måde at fastlægge det rette niveau, kunne være at tage udgangspunkt i virksomhedens afkastningsgrad og regne "baglæns" til egenkapitalens forrentning.</t>
  </si>
  <si>
    <t xml:space="preserve"> (som indsat). </t>
  </si>
  <si>
    <t xml:space="preserve"> - </t>
  </si>
  <si>
    <t xml:space="preserve"> og </t>
  </si>
  <si>
    <t xml:space="preserve"> (som forudsat)</t>
  </si>
  <si>
    <t xml:space="preserve">Bemærk at denne stigning i egenkapitalens forrentning, dvs de </t>
  </si>
  <si>
    <t xml:space="preserve">den foreslåede ændring på </t>
  </si>
  <si>
    <t xml:space="preserve">foreslåede ændring på </t>
  </si>
  <si>
    <t xml:space="preserve">henholdsvis </t>
  </si>
  <si>
    <t xml:space="preserve"> = </t>
  </si>
  <si>
    <t>Indtast: Afkastningsgrad for investeringen</t>
  </si>
  <si>
    <t xml:space="preserve">Bemærk at denne stigning i egenkapitalens forrentning på </t>
  </si>
  <si>
    <t xml:space="preserve"> ifht gearing og risiko, som foreslået</t>
  </si>
  <si>
    <t>i beregningen ovenfor.</t>
  </si>
  <si>
    <t>Dynamisk tekst</t>
  </si>
  <si>
    <t xml:space="preserve">Så bliver kravet til afkastningsgraden præcis de </t>
  </si>
  <si>
    <t>Prøv at indtaste en korrektion i egenkapitalens forrentning på:</t>
  </si>
  <si>
    <t xml:space="preserve">, er </t>
  </si>
  <si>
    <t>Gearingsrisiko</t>
  </si>
  <si>
    <t>Forslag til ændring:</t>
  </si>
  <si>
    <t xml:space="preserve"> ifht gearing og renterisiko, som foreslået i beregningen ovenfor.</t>
  </si>
  <si>
    <t>=Krav til afkastningsgrad for virksomhed</t>
  </si>
  <si>
    <t>Kalkulationsrente, brutto</t>
  </si>
  <si>
    <t>Kalkulationsrente efter skat</t>
  </si>
  <si>
    <t>efter skat</t>
  </si>
  <si>
    <t xml:space="preserve">Diagrammerne på denne side, skal illustrere effekten af ændringer i de bagvedliggende forudsætninger. </t>
  </si>
  <si>
    <t>Korrektion i EK - skatteværdi renterisiko</t>
  </si>
  <si>
    <t>Korrektion i EK - skatteværdi gearingsrisiko</t>
  </si>
  <si>
    <t>Krav til EK forrentning efter skat</t>
  </si>
  <si>
    <t>Egenkapital efter skat</t>
  </si>
  <si>
    <t>Afkastkrav for investeringen før skat</t>
  </si>
  <si>
    <t>Jo højere  krav til egenkapitalens forrentning, jo højere krav til afkastningsgraden - men hvad er det rigtige niveau? Og hvor meget mere skal man kræve i risikotillæg ved en investering?</t>
  </si>
  <si>
    <t>Krav til EK forrentning før skat</t>
  </si>
  <si>
    <t>Metode 1: Forventet afkastningsgrad for hele virksomheden (før skat)</t>
  </si>
  <si>
    <t>Indtast: Afkastningsgrad for virksomhed (før skat)</t>
  </si>
  <si>
    <t>Resultat: Egenkapitalens forrentning efter skat:</t>
  </si>
  <si>
    <t xml:space="preserve">Med andre ord, hvis kravet til egenkapitalens forrentning efter skat henholdsvis er </t>
  </si>
  <si>
    <t xml:space="preserve">før og efter investeringen, bliver kravet til afkastningsgraden for hele virksomheden før skat </t>
  </si>
  <si>
    <t xml:space="preserve">Hvis kravet til egenkapitalens forrentning efter skat stiger med: </t>
  </si>
  <si>
    <t>Metode 2: Forventet afkastningsgrad for investeringen (før skat)</t>
  </si>
  <si>
    <t>Afkastningsgrad investering, før skat</t>
  </si>
  <si>
    <t>Rentebetaling</t>
  </si>
  <si>
    <t>Ekstra til forrentning af EK efter skat</t>
  </si>
  <si>
    <t>Resultat: Maksimal ændring EK forrentning efter skat</t>
  </si>
  <si>
    <t xml:space="preserve">Med andre ord, hvis kravet til egenkapitalens forrentning efter skat stiger med </t>
  </si>
  <si>
    <t xml:space="preserve">bliver kravet til afkastningsgraden før skat (isoleret for investeringen) på </t>
  </si>
  <si>
    <t>Forretningsrisiko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</si>
</sst>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k_r_._-;\-* #,##0.00\ _k_r_._-;_-* &quot;-&quot;??\ _k_r_._-;_-@_-"/>
    <numFmt numFmtId="164" formatCode="_ * #,##0_ ;_ * \-#,##0_ ;_ * &quot;-&quot;??_ ;_ @_ "/>
    <numFmt numFmtId="165" formatCode="0.0"/>
    <numFmt numFmtId="166" formatCode="0.000"/>
    <numFmt numFmtId="167" formatCode="0.0000"/>
  </numFmts>
  <fonts count="3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DA3AD"/>
        <bgColor indexed="64"/>
      </patternFill>
    </fill>
    <fill>
      <patternFill patternType="solid">
        <fgColor rgb="FF09562C"/>
        <bgColor indexed="64"/>
      </patternFill>
    </fill>
    <fill>
      <patternFill patternType="solid">
        <fgColor rgb="FF7C9877"/>
        <bgColor indexed="64"/>
      </patternFill>
    </fill>
    <fill>
      <patternFill patternType="solid">
        <fgColor rgb="FFB4C5B0"/>
        <bgColor indexed="64"/>
      </patternFill>
    </fill>
    <fill>
      <patternFill patternType="solid">
        <fgColor rgb="FF07647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0E39B"/>
        <bgColor indexed="64"/>
      </patternFill>
    </fill>
    <fill>
      <patternFill patternType="solid">
        <fgColor rgb="FF80E39B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92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7">
    <xf numFmtId="0" fontId="0" fillId="0" borderId="0" xfId="0"/>
    <xf numFmtId="0" fontId="3" fillId="0" borderId="0" xfId="0" applyFont="1"/>
    <xf numFmtId="0" fontId="4" fillId="0" borderId="0" xfId="0" applyFont="1"/>
    <xf numFmtId="0" fontId="0" fillId="3" borderId="4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11" fillId="3" borderId="6" xfId="0" applyFont="1" applyFill="1" applyBorder="1"/>
    <xf numFmtId="0" fontId="0" fillId="3" borderId="7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3" fillId="3" borderId="4" xfId="0" applyFont="1" applyFill="1" applyBorder="1"/>
    <xf numFmtId="164" fontId="15" fillId="7" borderId="0" xfId="5" applyNumberFormat="1" applyFont="1" applyFill="1" applyBorder="1"/>
    <xf numFmtId="164" fontId="0" fillId="3" borderId="7" xfId="5" applyNumberFormat="1" applyFont="1" applyFill="1" applyBorder="1"/>
    <xf numFmtId="164" fontId="12" fillId="7" borderId="7" xfId="5" applyNumberFormat="1" applyFont="1" applyFill="1" applyBorder="1"/>
    <xf numFmtId="164" fontId="0" fillId="3" borderId="8" xfId="5" applyNumberFormat="1" applyFont="1" applyFill="1" applyBorder="1"/>
    <xf numFmtId="10" fontId="0" fillId="3" borderId="0" xfId="6" applyNumberFormat="1" applyFont="1" applyFill="1" applyBorder="1"/>
    <xf numFmtId="43" fontId="15" fillId="7" borderId="0" xfId="5" applyFont="1" applyFill="1" applyBorder="1"/>
    <xf numFmtId="164" fontId="12" fillId="3" borderId="0" xfId="5" applyNumberFormat="1" applyFont="1" applyFill="1" applyBorder="1"/>
    <xf numFmtId="0" fontId="14" fillId="3" borderId="4" xfId="0" applyFont="1" applyFill="1" applyBorder="1"/>
    <xf numFmtId="0" fontId="19" fillId="3" borderId="6" xfId="0" applyFont="1" applyFill="1" applyBorder="1"/>
    <xf numFmtId="0" fontId="13" fillId="0" borderId="4" xfId="0" applyFont="1" applyFill="1" applyBorder="1"/>
    <xf numFmtId="164" fontId="0" fillId="0" borderId="0" xfId="5" applyNumberFormat="1" applyFont="1" applyFill="1" applyBorder="1"/>
    <xf numFmtId="164" fontId="15" fillId="0" borderId="0" xfId="5" applyNumberFormat="1" applyFont="1" applyFill="1" applyBorder="1"/>
    <xf numFmtId="0" fontId="0" fillId="0" borderId="0" xfId="0" applyFill="1"/>
    <xf numFmtId="0" fontId="0" fillId="3" borderId="8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/>
    <xf numFmtId="164" fontId="15" fillId="7" borderId="1" xfId="5" applyNumberFormat="1" applyFont="1" applyFill="1" applyBorder="1"/>
    <xf numFmtId="164" fontId="15" fillId="7" borderId="10" xfId="5" applyNumberFormat="1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164" fontId="14" fillId="3" borderId="0" xfId="5" applyNumberFormat="1" applyFont="1" applyFill="1" applyBorder="1"/>
    <xf numFmtId="164" fontId="14" fillId="3" borderId="5" xfId="5" applyNumberFormat="1" applyFont="1" applyFill="1" applyBorder="1"/>
    <xf numFmtId="164" fontId="13" fillId="3" borderId="0" xfId="5" applyNumberFormat="1" applyFont="1" applyFill="1" applyBorder="1"/>
    <xf numFmtId="164" fontId="21" fillId="7" borderId="0" xfId="5" applyNumberFormat="1" applyFont="1" applyFill="1" applyBorder="1"/>
    <xf numFmtId="164" fontId="13" fillId="3" borderId="5" xfId="5" applyNumberFormat="1" applyFont="1" applyFill="1" applyBorder="1"/>
    <xf numFmtId="164" fontId="3" fillId="3" borderId="7" xfId="5" applyNumberFormat="1" applyFont="1" applyFill="1" applyBorder="1"/>
    <xf numFmtId="0" fontId="14" fillId="3" borderId="2" xfId="0" applyFont="1" applyFill="1" applyBorder="1"/>
    <xf numFmtId="164" fontId="14" fillId="3" borderId="1" xfId="5" applyNumberFormat="1" applyFont="1" applyFill="1" applyBorder="1"/>
    <xf numFmtId="164" fontId="14" fillId="3" borderId="3" xfId="5" applyNumberFormat="1" applyFont="1" applyFill="1" applyBorder="1"/>
    <xf numFmtId="164" fontId="12" fillId="3" borderId="5" xfId="5" applyNumberFormat="1" applyFont="1" applyFill="1" applyBorder="1"/>
    <xf numFmtId="164" fontId="22" fillId="9" borderId="5" xfId="0" applyNumberFormat="1" applyFont="1" applyFill="1" applyBorder="1"/>
    <xf numFmtId="164" fontId="11" fillId="3" borderId="0" xfId="5" applyNumberFormat="1" applyFont="1" applyFill="1" applyBorder="1"/>
    <xf numFmtId="164" fontId="11" fillId="3" borderId="5" xfId="5" applyNumberFormat="1" applyFont="1" applyFill="1" applyBorder="1"/>
    <xf numFmtId="164" fontId="11" fillId="7" borderId="7" xfId="5" applyNumberFormat="1" applyFont="1" applyFill="1" applyBorder="1"/>
    <xf numFmtId="164" fontId="3" fillId="3" borderId="8" xfId="5" applyNumberFormat="1" applyFont="1" applyFill="1" applyBorder="1"/>
    <xf numFmtId="0" fontId="0" fillId="5" borderId="13" xfId="0" applyFill="1" applyBorder="1"/>
    <xf numFmtId="0" fontId="0" fillId="3" borderId="14" xfId="0" applyFill="1" applyBorder="1"/>
    <xf numFmtId="164" fontId="0" fillId="3" borderId="12" xfId="5" applyNumberFormat="1" applyFont="1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 applyBorder="1" applyAlignment="1">
      <alignment horizontal="center"/>
    </xf>
    <xf numFmtId="10" fontId="0" fillId="7" borderId="0" xfId="0" applyNumberFormat="1" applyFill="1" applyBorder="1" applyAlignment="1">
      <alignment horizontal="center"/>
    </xf>
    <xf numFmtId="0" fontId="23" fillId="6" borderId="5" xfId="0" applyFont="1" applyFill="1" applyBorder="1" applyAlignment="1">
      <alignment horizontal="center"/>
    </xf>
    <xf numFmtId="10" fontId="0" fillId="7" borderId="10" xfId="0" applyNumberFormat="1" applyFill="1" applyBorder="1" applyAlignment="1">
      <alignment horizontal="center"/>
    </xf>
    <xf numFmtId="0" fontId="4" fillId="3" borderId="4" xfId="0" applyFont="1" applyFill="1" applyBorder="1"/>
    <xf numFmtId="0" fontId="4" fillId="3" borderId="9" xfId="0" applyFont="1" applyFill="1" applyBorder="1"/>
    <xf numFmtId="0" fontId="3" fillId="3" borderId="4" xfId="0" applyFont="1" applyFill="1" applyBorder="1"/>
    <xf numFmtId="0" fontId="14" fillId="3" borderId="4" xfId="0" applyFont="1" applyFill="1" applyBorder="1" applyAlignment="1">
      <alignment vertical="top"/>
    </xf>
    <xf numFmtId="0" fontId="3" fillId="3" borderId="7" xfId="0" applyFont="1" applyFill="1" applyBorder="1"/>
    <xf numFmtId="0" fontId="4" fillId="3" borderId="6" xfId="0" applyFont="1" applyFill="1" applyBorder="1"/>
    <xf numFmtId="0" fontId="0" fillId="3" borderId="0" xfId="0" applyFill="1"/>
    <xf numFmtId="164" fontId="0" fillId="3" borderId="0" xfId="0" applyNumberFormat="1" applyFill="1" applyBorder="1"/>
    <xf numFmtId="164" fontId="0" fillId="7" borderId="0" xfId="0" applyNumberFormat="1" applyFill="1" applyBorder="1" applyAlignment="1">
      <alignment horizontal="center"/>
    </xf>
    <xf numFmtId="164" fontId="3" fillId="3" borderId="10" xfId="0" applyNumberFormat="1" applyFont="1" applyFill="1" applyBorder="1"/>
    <xf numFmtId="164" fontId="3" fillId="7" borderId="10" xfId="0" applyNumberFormat="1" applyFont="1" applyFill="1" applyBorder="1" applyAlignment="1">
      <alignment horizontal="center"/>
    </xf>
    <xf numFmtId="10" fontId="0" fillId="3" borderId="0" xfId="0" applyNumberFormat="1" applyFill="1" applyBorder="1" applyAlignment="1">
      <alignment horizontal="center"/>
    </xf>
    <xf numFmtId="10" fontId="0" fillId="3" borderId="10" xfId="0" applyNumberFormat="1" applyFill="1" applyBorder="1" applyAlignment="1">
      <alignment horizontal="center"/>
    </xf>
    <xf numFmtId="10" fontId="0" fillId="3" borderId="5" xfId="0" applyNumberFormat="1" applyFill="1" applyBorder="1"/>
    <xf numFmtId="10" fontId="3" fillId="3" borderId="7" xfId="0" applyNumberFormat="1" applyFont="1" applyFill="1" applyBorder="1" applyAlignment="1">
      <alignment horizontal="center"/>
    </xf>
    <xf numFmtId="10" fontId="3" fillId="7" borderId="7" xfId="0" applyNumberFormat="1" applyFont="1" applyFill="1" applyBorder="1" applyAlignment="1">
      <alignment horizontal="center"/>
    </xf>
    <xf numFmtId="0" fontId="4" fillId="3" borderId="7" xfId="0" applyFont="1" applyFill="1" applyBorder="1"/>
    <xf numFmtId="0" fontId="4" fillId="3" borderId="8" xfId="0" applyFont="1" applyFill="1" applyBorder="1"/>
    <xf numFmtId="164" fontId="4" fillId="3" borderId="7" xfId="0" applyNumberFormat="1" applyFont="1" applyFill="1" applyBorder="1"/>
    <xf numFmtId="164" fontId="4" fillId="3" borderId="7" xfId="0" applyNumberFormat="1" applyFont="1" applyFill="1" applyBorder="1" applyAlignment="1">
      <alignment horizontal="center"/>
    </xf>
    <xf numFmtId="10" fontId="26" fillId="3" borderId="0" xfId="6" applyNumberFormat="1" applyFont="1" applyFill="1" applyBorder="1"/>
    <xf numFmtId="2" fontId="0" fillId="0" borderId="0" xfId="0" applyNumberFormat="1"/>
    <xf numFmtId="0" fontId="14" fillId="0" borderId="0" xfId="177"/>
    <xf numFmtId="2" fontId="14" fillId="0" borderId="7" xfId="177" applyNumberFormat="1" applyBorder="1"/>
    <xf numFmtId="0" fontId="14" fillId="0" borderId="15" xfId="177" applyBorder="1"/>
    <xf numFmtId="0" fontId="14" fillId="0" borderId="16" xfId="177" applyBorder="1"/>
    <xf numFmtId="2" fontId="14" fillId="0" borderId="0" xfId="177" applyNumberFormat="1"/>
    <xf numFmtId="2" fontId="14" fillId="0" borderId="5" xfId="177" applyNumberFormat="1" applyBorder="1"/>
    <xf numFmtId="165" fontId="14" fillId="0" borderId="0" xfId="177" applyNumberFormat="1"/>
    <xf numFmtId="164" fontId="15" fillId="7" borderId="0" xfId="5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64" fontId="15" fillId="7" borderId="1" xfId="5" applyNumberFormat="1" applyFont="1" applyFill="1" applyBorder="1" applyAlignment="1">
      <alignment horizontal="center"/>
    </xf>
    <xf numFmtId="10" fontId="27" fillId="7" borderId="0" xfId="5" applyNumberFormat="1" applyFont="1" applyFill="1" applyBorder="1" applyAlignment="1">
      <alignment horizontal="center"/>
    </xf>
    <xf numFmtId="9" fontId="3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0" xfId="0" applyFont="1" applyFill="1" applyBorder="1"/>
    <xf numFmtId="0" fontId="3" fillId="3" borderId="5" xfId="0" applyFont="1" applyFill="1" applyBorder="1"/>
    <xf numFmtId="0" fontId="3" fillId="3" borderId="2" xfId="0" applyFont="1" applyFill="1" applyBorder="1"/>
    <xf numFmtId="0" fontId="3" fillId="0" borderId="1" xfId="0" applyFont="1" applyBorder="1"/>
    <xf numFmtId="0" fontId="3" fillId="0" borderId="3" xfId="0" applyFont="1" applyBorder="1"/>
    <xf numFmtId="10" fontId="3" fillId="3" borderId="5" xfId="6" applyNumberFormat="1" applyFont="1" applyFill="1" applyBorder="1"/>
    <xf numFmtId="164" fontId="28" fillId="7" borderId="0" xfId="5" applyNumberFormat="1" applyFont="1" applyFill="1" applyBorder="1" applyAlignment="1">
      <alignment horizontal="center"/>
    </xf>
    <xf numFmtId="164" fontId="28" fillId="7" borderId="0" xfId="5" applyNumberFormat="1" applyFont="1" applyFill="1" applyBorder="1"/>
    <xf numFmtId="164" fontId="28" fillId="7" borderId="1" xfId="5" applyNumberFormat="1" applyFont="1" applyFill="1" applyBorder="1"/>
    <xf numFmtId="164" fontId="0" fillId="10" borderId="0" xfId="0" applyNumberFormat="1" applyFill="1" applyBorder="1" applyAlignment="1">
      <alignment horizontal="center"/>
    </xf>
    <xf numFmtId="10" fontId="0" fillId="10" borderId="5" xfId="0" applyNumberFormat="1" applyFill="1" applyBorder="1"/>
    <xf numFmtId="10" fontId="0" fillId="10" borderId="11" xfId="0" applyNumberFormat="1" applyFill="1" applyBorder="1"/>
    <xf numFmtId="164" fontId="9" fillId="10" borderId="0" xfId="5" applyNumberFormat="1" applyFont="1" applyFill="1" applyBorder="1" applyAlignment="1">
      <alignment horizontal="center"/>
    </xf>
    <xf numFmtId="9" fontId="28" fillId="10" borderId="0" xfId="5" applyNumberFormat="1" applyFont="1" applyFill="1" applyBorder="1" applyAlignment="1">
      <alignment horizontal="center"/>
    </xf>
    <xf numFmtId="10" fontId="3" fillId="10" borderId="0" xfId="6" applyNumberFormat="1" applyFont="1" applyFill="1" applyBorder="1" applyAlignment="1">
      <alignment horizontal="center"/>
    </xf>
    <xf numFmtId="164" fontId="3" fillId="3" borderId="7" xfId="0" applyNumberFormat="1" applyFont="1" applyFill="1" applyBorder="1"/>
    <xf numFmtId="164" fontId="3" fillId="7" borderId="7" xfId="0" applyNumberFormat="1" applyFont="1" applyFill="1" applyBorder="1" applyAlignment="1">
      <alignment horizontal="center"/>
    </xf>
    <xf numFmtId="10" fontId="0" fillId="7" borderId="1" xfId="0" applyNumberFormat="1" applyFill="1" applyBorder="1" applyAlignment="1">
      <alignment horizontal="center"/>
    </xf>
    <xf numFmtId="164" fontId="0" fillId="3" borderId="7" xfId="0" applyNumberFormat="1" applyFill="1" applyBorder="1"/>
    <xf numFmtId="164" fontId="0" fillId="7" borderId="7" xfId="0" applyNumberFormat="1" applyFill="1" applyBorder="1" applyAlignment="1">
      <alignment horizontal="center"/>
    </xf>
    <xf numFmtId="10" fontId="0" fillId="3" borderId="7" xfId="0" applyNumberFormat="1" applyFill="1" applyBorder="1" applyAlignment="1">
      <alignment horizontal="center"/>
    </xf>
    <xf numFmtId="10" fontId="0" fillId="7" borderId="7" xfId="0" applyNumberFormat="1" applyFill="1" applyBorder="1" applyAlignment="1">
      <alignment horizontal="center"/>
    </xf>
    <xf numFmtId="0" fontId="29" fillId="0" borderId="0" xfId="0" applyFont="1"/>
    <xf numFmtId="9" fontId="0" fillId="0" borderId="0" xfId="0" applyNumberFormat="1"/>
    <xf numFmtId="0" fontId="0" fillId="0" borderId="2" xfId="0" applyBorder="1"/>
    <xf numFmtId="0" fontId="4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0" fontId="0" fillId="0" borderId="0" xfId="0" applyNumberFormat="1"/>
    <xf numFmtId="0" fontId="30" fillId="3" borderId="4" xfId="0" applyFont="1" applyFill="1" applyBorder="1"/>
    <xf numFmtId="9" fontId="14" fillId="3" borderId="0" xfId="0" applyNumberFormat="1" applyFont="1" applyFill="1" applyBorder="1" applyAlignment="1">
      <alignment horizontal="center"/>
    </xf>
    <xf numFmtId="9" fontId="14" fillId="3" borderId="5" xfId="0" applyNumberFormat="1" applyFont="1" applyFill="1" applyBorder="1" applyAlignment="1">
      <alignment horizontal="center"/>
    </xf>
    <xf numFmtId="0" fontId="3" fillId="0" borderId="2" xfId="0" applyFont="1" applyBorder="1"/>
    <xf numFmtId="10" fontId="0" fillId="0" borderId="0" xfId="0" applyNumberFormat="1" applyBorder="1"/>
    <xf numFmtId="10" fontId="0" fillId="0" borderId="5" xfId="0" applyNumberFormat="1" applyBorder="1"/>
    <xf numFmtId="0" fontId="4" fillId="0" borderId="2" xfId="0" applyFont="1" applyBorder="1"/>
    <xf numFmtId="10" fontId="0" fillId="0" borderId="10" xfId="0" applyNumberFormat="1" applyBorder="1"/>
    <xf numFmtId="10" fontId="0" fillId="0" borderId="11" xfId="0" applyNumberFormat="1" applyBorder="1"/>
    <xf numFmtId="10" fontId="0" fillId="0" borderId="4" xfId="0" applyNumberFormat="1" applyBorder="1"/>
    <xf numFmtId="10" fontId="0" fillId="0" borderId="9" xfId="0" applyNumberFormat="1" applyBorder="1"/>
    <xf numFmtId="0" fontId="31" fillId="0" borderId="0" xfId="0" applyFont="1"/>
    <xf numFmtId="0" fontId="12" fillId="0" borderId="0" xfId="0" applyFont="1"/>
    <xf numFmtId="10" fontId="14" fillId="0" borderId="0" xfId="0" applyNumberFormat="1" applyFont="1" applyAlignment="1">
      <alignment horizontal="center"/>
    </xf>
    <xf numFmtId="0" fontId="0" fillId="12" borderId="0" xfId="0" applyFill="1"/>
    <xf numFmtId="0" fontId="0" fillId="3" borderId="8" xfId="0" applyFill="1" applyBorder="1"/>
    <xf numFmtId="10" fontId="3" fillId="3" borderId="0" xfId="0" applyNumberFormat="1" applyFont="1" applyFill="1" applyBorder="1" applyAlignment="1">
      <alignment horizontal="center"/>
    </xf>
    <xf numFmtId="10" fontId="28" fillId="7" borderId="0" xfId="5" applyNumberFormat="1" applyFont="1" applyFill="1" applyBorder="1" applyAlignment="1">
      <alignment horizontal="center"/>
    </xf>
    <xf numFmtId="0" fontId="0" fillId="3" borderId="4" xfId="0" applyFont="1" applyFill="1" applyBorder="1"/>
    <xf numFmtId="10" fontId="0" fillId="10" borderId="10" xfId="0" applyNumberFormat="1" applyFill="1" applyBorder="1" applyAlignment="1">
      <alignment horizontal="center"/>
    </xf>
    <xf numFmtId="0" fontId="4" fillId="0" borderId="0" xfId="0" quotePrefix="1" applyFont="1"/>
    <xf numFmtId="10" fontId="32" fillId="7" borderId="0" xfId="5" applyNumberFormat="1" applyFont="1" applyFill="1" applyBorder="1" applyAlignment="1">
      <alignment horizontal="center"/>
    </xf>
    <xf numFmtId="0" fontId="4" fillId="3" borderId="2" xfId="0" applyFont="1" applyFill="1" applyBorder="1"/>
    <xf numFmtId="0" fontId="0" fillId="3" borderId="9" xfId="0" applyFont="1" applyFill="1" applyBorder="1"/>
    <xf numFmtId="10" fontId="32" fillId="7" borderId="10" xfId="5" applyNumberFormat="1" applyFont="1" applyFill="1" applyBorder="1" applyAlignment="1">
      <alignment horizontal="center"/>
    </xf>
    <xf numFmtId="0" fontId="3" fillId="3" borderId="0" xfId="0" quotePrefix="1" applyFont="1" applyFill="1" applyBorder="1"/>
    <xf numFmtId="10" fontId="33" fillId="0" borderId="0" xfId="0" applyNumberFormat="1" applyFont="1" applyAlignment="1">
      <alignment horizontal="center"/>
    </xf>
    <xf numFmtId="10" fontId="9" fillId="11" borderId="1" xfId="0" applyNumberFormat="1" applyFont="1" applyFill="1" applyBorder="1" applyAlignment="1">
      <alignment horizontal="center"/>
    </xf>
    <xf numFmtId="10" fontId="9" fillId="11" borderId="0" xfId="0" applyNumberFormat="1" applyFont="1" applyFill="1" applyBorder="1" applyAlignment="1">
      <alignment horizontal="center"/>
    </xf>
    <xf numFmtId="10" fontId="9" fillId="11" borderId="5" xfId="0" applyNumberFormat="1" applyFont="1" applyFill="1" applyBorder="1" applyAlignment="1">
      <alignment horizontal="center"/>
    </xf>
    <xf numFmtId="2" fontId="0" fillId="0" borderId="0" xfId="0" applyNumberFormat="1" applyFont="1"/>
    <xf numFmtId="2" fontId="3" fillId="0" borderId="0" xfId="0" applyNumberFormat="1" applyFont="1"/>
    <xf numFmtId="10" fontId="0" fillId="10" borderId="0" xfId="0" applyNumberFormat="1" applyFill="1" applyBorder="1"/>
    <xf numFmtId="0" fontId="31" fillId="0" borderId="4" xfId="0" applyFont="1" applyBorder="1"/>
    <xf numFmtId="0" fontId="3" fillId="0" borderId="4" xfId="0" quotePrefix="1" applyFont="1" applyBorder="1"/>
    <xf numFmtId="0" fontId="3" fillId="3" borderId="4" xfId="0" quotePrefix="1" applyFont="1" applyFill="1" applyBorder="1"/>
    <xf numFmtId="10" fontId="0" fillId="10" borderId="0" xfId="0" applyNumberFormat="1" applyFill="1" applyBorder="1" applyAlignment="1">
      <alignment horizontal="center"/>
    </xf>
    <xf numFmtId="0" fontId="31" fillId="0" borderId="4" xfId="0" applyFont="1" applyFill="1" applyBorder="1"/>
    <xf numFmtId="10" fontId="0" fillId="3" borderId="0" xfId="0" applyNumberFormat="1" applyFill="1" applyBorder="1"/>
    <xf numFmtId="0" fontId="0" fillId="3" borderId="0" xfId="0" quotePrefix="1" applyFill="1" applyBorder="1"/>
    <xf numFmtId="0" fontId="3" fillId="0" borderId="2" xfId="0" applyFont="1" applyFill="1" applyBorder="1"/>
    <xf numFmtId="0" fontId="0" fillId="0" borderId="1" xfId="0" applyFill="1" applyBorder="1"/>
    <xf numFmtId="0" fontId="0" fillId="0" borderId="3" xfId="0" applyFill="1" applyBorder="1"/>
    <xf numFmtId="0" fontId="3" fillId="0" borderId="4" xfId="0" applyFont="1" applyFill="1" applyBorder="1"/>
    <xf numFmtId="0" fontId="0" fillId="0" borderId="5" xfId="0" applyFill="1" applyBorder="1"/>
    <xf numFmtId="0" fontId="3" fillId="0" borderId="4" xfId="0" quotePrefix="1" applyFont="1" applyFill="1" applyBorder="1"/>
    <xf numFmtId="10" fontId="0" fillId="0" borderId="0" xfId="0" applyNumberFormat="1" applyFill="1" applyBorder="1"/>
    <xf numFmtId="0" fontId="0" fillId="0" borderId="0" xfId="0" quotePrefix="1" applyFill="1" applyBorder="1"/>
    <xf numFmtId="0" fontId="0" fillId="0" borderId="5" xfId="0" quotePrefix="1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3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10" fontId="3" fillId="0" borderId="11" xfId="0" applyNumberFormat="1" applyFont="1" applyBorder="1"/>
    <xf numFmtId="0" fontId="3" fillId="0" borderId="9" xfId="0" applyFont="1" applyBorder="1"/>
    <xf numFmtId="0" fontId="34" fillId="0" borderId="2" xfId="0" applyFont="1" applyBorder="1"/>
    <xf numFmtId="10" fontId="28" fillId="3" borderId="0" xfId="5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0" fontId="9" fillId="13" borderId="0" xfId="0" applyNumberFormat="1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0" fontId="0" fillId="3" borderId="4" xfId="0" applyNumberFormat="1" applyFill="1" applyBorder="1"/>
    <xf numFmtId="10" fontId="0" fillId="3" borderId="4" xfId="0" quotePrefix="1" applyNumberFormat="1" applyFill="1" applyBorder="1"/>
    <xf numFmtId="10" fontId="3" fillId="7" borderId="0" xfId="0" applyNumberFormat="1" applyFont="1" applyFill="1" applyBorder="1" applyAlignment="1">
      <alignment horizontal="center"/>
    </xf>
    <xf numFmtId="10" fontId="3" fillId="7" borderId="5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0" fontId="0" fillId="3" borderId="0" xfId="0" applyNumberFormat="1" applyFill="1"/>
    <xf numFmtId="0" fontId="0" fillId="3" borderId="0" xfId="0" quotePrefix="1" applyFill="1"/>
    <xf numFmtId="9" fontId="3" fillId="3" borderId="5" xfId="0" applyNumberFormat="1" applyFont="1" applyFill="1" applyBorder="1" applyAlignment="1">
      <alignment horizontal="center"/>
    </xf>
    <xf numFmtId="164" fontId="9" fillId="11" borderId="5" xfId="0" applyNumberFormat="1" applyFont="1" applyFill="1" applyBorder="1" applyAlignment="1">
      <alignment horizontal="center"/>
    </xf>
    <xf numFmtId="0" fontId="0" fillId="3" borderId="0" xfId="0" applyFont="1" applyFill="1" applyBorder="1"/>
    <xf numFmtId="0" fontId="31" fillId="3" borderId="0" xfId="0" applyFont="1" applyFill="1" applyBorder="1" applyAlignment="1">
      <alignment horizontal="center"/>
    </xf>
    <xf numFmtId="9" fontId="14" fillId="0" borderId="5" xfId="177" applyNumberFormat="1" applyBorder="1"/>
    <xf numFmtId="166" fontId="3" fillId="0" borderId="0" xfId="0" applyNumberFormat="1" applyFont="1"/>
    <xf numFmtId="10" fontId="0" fillId="7" borderId="0" xfId="6" applyNumberFormat="1" applyFont="1" applyFill="1" applyBorder="1" applyAlignment="1">
      <alignment horizontal="center"/>
    </xf>
    <xf numFmtId="10" fontId="36" fillId="7" borderId="0" xfId="5" applyNumberFormat="1" applyFont="1" applyFill="1" applyBorder="1" applyAlignment="1">
      <alignment horizontal="center"/>
    </xf>
    <xf numFmtId="10" fontId="37" fillId="7" borderId="0" xfId="5" applyNumberFormat="1" applyFont="1" applyFill="1" applyBorder="1" applyAlignment="1">
      <alignment horizontal="center"/>
    </xf>
    <xf numFmtId="167" fontId="0" fillId="0" borderId="0" xfId="0" applyNumberFormat="1"/>
    <xf numFmtId="0" fontId="38" fillId="3" borderId="4" xfId="0" applyFont="1" applyFill="1" applyBorder="1"/>
    <xf numFmtId="0" fontId="20" fillId="2" borderId="4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 applyProtection="1">
      <alignment horizontal="center"/>
      <protection locked="0"/>
    </xf>
    <xf numFmtId="0" fontId="35" fillId="0" borderId="0" xfId="0" applyFont="1" applyAlignment="1">
      <alignment horizontal="center"/>
    </xf>
    <xf numFmtId="0" fontId="16" fillId="8" borderId="2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16" fillId="8" borderId="3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</cellXfs>
  <cellStyles count="492">
    <cellStyle name="Besøgt link" xfId="2" builtinId="9" hidden="1"/>
    <cellStyle name="Besøgt link" xfId="4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6" builtinId="9" hidden="1"/>
    <cellStyle name="Besøgt link" xfId="38" builtinId="9" hidden="1"/>
    <cellStyle name="Besøgt link" xfId="40" builtinId="9" hidden="1"/>
    <cellStyle name="Besøgt link" xfId="42" builtinId="9" hidden="1"/>
    <cellStyle name="Besøgt link" xfId="44" builtinId="9" hidden="1"/>
    <cellStyle name="Besøgt link" xfId="46" builtinId="9" hidden="1"/>
    <cellStyle name="Besøgt link" xfId="48" builtinId="9" hidden="1"/>
    <cellStyle name="Besøgt link" xfId="50" builtinId="9" hidden="1"/>
    <cellStyle name="Besøgt link" xfId="52" builtinId="9" hidden="1"/>
    <cellStyle name="Besøgt link" xfId="54" builtinId="9" hidden="1"/>
    <cellStyle name="Besøgt link" xfId="56" builtinId="9" hidden="1"/>
    <cellStyle name="Besøgt link" xfId="58" builtinId="9" hidden="1"/>
    <cellStyle name="Besøgt link" xfId="60" builtinId="9" hidden="1"/>
    <cellStyle name="Besøgt link" xfId="62" builtinId="9" hidden="1"/>
    <cellStyle name="Besøgt link" xfId="64" builtinId="9" hidden="1"/>
    <cellStyle name="Besøgt link" xfId="66" builtinId="9" hidden="1"/>
    <cellStyle name="Besøgt link" xfId="68" builtinId="9" hidden="1"/>
    <cellStyle name="Besøgt link" xfId="70" builtinId="9" hidden="1"/>
    <cellStyle name="Besøgt link" xfId="72" builtinId="9" hidden="1"/>
    <cellStyle name="Besøgt link" xfId="74" builtinId="9" hidden="1"/>
    <cellStyle name="Besøgt link" xfId="76" builtinId="9" hidden="1"/>
    <cellStyle name="Besøgt link" xfId="78" builtinId="9" hidden="1"/>
    <cellStyle name="Besøgt link" xfId="80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9" builtinId="9" hidden="1"/>
    <cellStyle name="Besøgt link" xfId="181" builtinId="9" hidden="1"/>
    <cellStyle name="Besøgt link" xfId="183" builtinId="9" hidden="1"/>
    <cellStyle name="Besøgt link" xfId="185" builtinId="9" hidden="1"/>
    <cellStyle name="Besøgt link" xfId="187" builtinId="9" hidden="1"/>
    <cellStyle name="Besøgt link" xfId="189" builtinId="9" hidden="1"/>
    <cellStyle name="Besøgt link" xfId="191" builtinId="9" hidden="1"/>
    <cellStyle name="Besøgt link" xfId="193" builtinId="9" hidden="1"/>
    <cellStyle name="Besøgt link" xfId="195" builtinId="9" hidden="1"/>
    <cellStyle name="Besøgt link" xfId="197" builtinId="9" hidden="1"/>
    <cellStyle name="Besøgt link" xfId="199" builtinId="9" hidden="1"/>
    <cellStyle name="Besøgt link" xfId="201" builtinId="9" hidden="1"/>
    <cellStyle name="Besøgt link" xfId="203" builtinId="9" hidden="1"/>
    <cellStyle name="Besøgt link" xfId="205" builtinId="9" hidden="1"/>
    <cellStyle name="Besøgt link" xfId="207" builtinId="9" hidden="1"/>
    <cellStyle name="Besøgt link" xfId="209" builtinId="9" hidden="1"/>
    <cellStyle name="Besøgt link" xfId="211" builtinId="9" hidden="1"/>
    <cellStyle name="Besøgt link" xfId="213" builtinId="9" hidden="1"/>
    <cellStyle name="Besøgt link" xfId="215" builtinId="9" hidden="1"/>
    <cellStyle name="Besøgt link" xfId="217" builtinId="9" hidden="1"/>
    <cellStyle name="Besøgt link" xfId="219" builtinId="9" hidden="1"/>
    <cellStyle name="Besøgt link" xfId="221" builtinId="9" hidden="1"/>
    <cellStyle name="Besøgt link" xfId="223" builtinId="9" hidden="1"/>
    <cellStyle name="Besøgt link" xfId="225" builtinId="9" hidden="1"/>
    <cellStyle name="Besøgt link" xfId="227" builtinId="9" hidden="1"/>
    <cellStyle name="Besøgt link" xfId="229" builtinId="9" hidden="1"/>
    <cellStyle name="Besøgt link" xfId="231" builtinId="9" hidden="1"/>
    <cellStyle name="Besøgt link" xfId="233" builtinId="9" hidden="1"/>
    <cellStyle name="Besøgt link" xfId="235" builtinId="9" hidden="1"/>
    <cellStyle name="Besøgt link" xfId="237" builtinId="9" hidden="1"/>
    <cellStyle name="Besøgt link" xfId="239" builtinId="9" hidden="1"/>
    <cellStyle name="Besøgt link" xfId="241" builtinId="9" hidden="1"/>
    <cellStyle name="Besøgt link" xfId="243" builtinId="9" hidden="1"/>
    <cellStyle name="Besøgt link" xfId="245" builtinId="9" hidden="1"/>
    <cellStyle name="Besøgt link" xfId="247" builtinId="9" hidden="1"/>
    <cellStyle name="Besøgt link" xfId="249" builtinId="9" hidden="1"/>
    <cellStyle name="Besøgt link" xfId="251" builtinId="9" hidden="1"/>
    <cellStyle name="Besøgt link" xfId="253" builtinId="9" hidden="1"/>
    <cellStyle name="Besøgt link" xfId="255" builtinId="9" hidden="1"/>
    <cellStyle name="Besøgt link" xfId="257" builtinId="9" hidden="1"/>
    <cellStyle name="Besøgt link" xfId="259" builtinId="9" hidden="1"/>
    <cellStyle name="Besøgt link" xfId="261" builtinId="9" hidden="1"/>
    <cellStyle name="Besøgt link" xfId="263" builtinId="9" hidden="1"/>
    <cellStyle name="Besøgt link" xfId="265" builtinId="9" hidden="1"/>
    <cellStyle name="Besøgt link" xfId="267" builtinId="9" hidden="1"/>
    <cellStyle name="Besøgt link" xfId="269" builtinId="9" hidden="1"/>
    <cellStyle name="Besøgt link" xfId="271" builtinId="9" hidden="1"/>
    <cellStyle name="Besøgt link" xfId="273" builtinId="9" hidden="1"/>
    <cellStyle name="Besøgt link" xfId="275" builtinId="9" hidden="1"/>
    <cellStyle name="Besøgt link" xfId="277" builtinId="9" hidden="1"/>
    <cellStyle name="Besøgt link" xfId="279" builtinId="9" hidden="1"/>
    <cellStyle name="Besøgt link" xfId="281" builtinId="9" hidden="1"/>
    <cellStyle name="Besøgt link" xfId="283" builtinId="9" hidden="1"/>
    <cellStyle name="Besøgt link" xfId="285" builtinId="9" hidden="1"/>
    <cellStyle name="Besøgt link" xfId="287" builtinId="9" hidden="1"/>
    <cellStyle name="Besøgt link" xfId="289" builtinId="9" hidden="1"/>
    <cellStyle name="Besøgt link" xfId="291" builtinId="9" hidden="1"/>
    <cellStyle name="Besøgt link" xfId="293" builtinId="9" hidden="1"/>
    <cellStyle name="Besøgt link" xfId="295" builtinId="9" hidden="1"/>
    <cellStyle name="Besøgt link" xfId="297" builtinId="9" hidden="1"/>
    <cellStyle name="Besøgt link" xfId="299" builtinId="9" hidden="1"/>
    <cellStyle name="Besøgt link" xfId="301" builtinId="9" hidden="1"/>
    <cellStyle name="Besøgt link" xfId="303" builtinId="9" hidden="1"/>
    <cellStyle name="Besøgt link" xfId="305" builtinId="9" hidden="1"/>
    <cellStyle name="Besøgt link" xfId="307" builtinId="9" hidden="1"/>
    <cellStyle name="Besøgt link" xfId="309" builtinId="9" hidden="1"/>
    <cellStyle name="Besøgt link" xfId="311" builtinId="9" hidden="1"/>
    <cellStyle name="Besøgt link" xfId="313" builtinId="9" hidden="1"/>
    <cellStyle name="Besøgt link" xfId="315" builtinId="9" hidden="1"/>
    <cellStyle name="Besøgt link" xfId="317" builtinId="9" hidden="1"/>
    <cellStyle name="Besøgt link" xfId="319" builtinId="9" hidden="1"/>
    <cellStyle name="Besøgt link" xfId="321" builtinId="9" hidden="1"/>
    <cellStyle name="Besøgt link" xfId="323" builtinId="9" hidden="1"/>
    <cellStyle name="Besøgt link" xfId="325" builtinId="9" hidden="1"/>
    <cellStyle name="Besøgt link" xfId="327" builtinId="9" hidden="1"/>
    <cellStyle name="Besøgt link" xfId="329" builtinId="9" hidden="1"/>
    <cellStyle name="Besøgt link" xfId="331" builtinId="9" hidden="1"/>
    <cellStyle name="Besøgt link" xfId="333" builtinId="9" hidden="1"/>
    <cellStyle name="Besøgt link" xfId="335" builtinId="9" hidden="1"/>
    <cellStyle name="Besøgt link" xfId="337" builtinId="9" hidden="1"/>
    <cellStyle name="Besøgt link" xfId="339" builtinId="9" hidden="1"/>
    <cellStyle name="Besøgt link" xfId="341" builtinId="9" hidden="1"/>
    <cellStyle name="Besøgt link" xfId="343" builtinId="9" hidden="1"/>
    <cellStyle name="Besøgt link" xfId="345" builtinId="9" hidden="1"/>
    <cellStyle name="Besøgt link" xfId="347" builtinId="9" hidden="1"/>
    <cellStyle name="Besøgt link" xfId="349" builtinId="9" hidden="1"/>
    <cellStyle name="Besøgt link" xfId="351" builtinId="9" hidden="1"/>
    <cellStyle name="Besøgt link" xfId="353" builtinId="9" hidden="1"/>
    <cellStyle name="Besøgt link" xfId="355" builtinId="9" hidden="1"/>
    <cellStyle name="Besøgt link" xfId="357" builtinId="9" hidden="1"/>
    <cellStyle name="Besøgt link" xfId="359" builtinId="9" hidden="1"/>
    <cellStyle name="Besøgt link" xfId="361" builtinId="9" hidden="1"/>
    <cellStyle name="Besøgt link" xfId="363" builtinId="9" hidden="1"/>
    <cellStyle name="Besøgt link" xfId="365" builtinId="9" hidden="1"/>
    <cellStyle name="Besøgt link" xfId="367" builtinId="9" hidden="1"/>
    <cellStyle name="Besøgt link" xfId="369" builtinId="9" hidden="1"/>
    <cellStyle name="Besøgt link" xfId="371" builtinId="9" hidden="1"/>
    <cellStyle name="Besøgt link" xfId="373" builtinId="9" hidden="1"/>
    <cellStyle name="Besøgt link" xfId="375" builtinId="9" hidden="1"/>
    <cellStyle name="Besøgt link" xfId="377" builtinId="9" hidden="1"/>
    <cellStyle name="Besøgt link" xfId="379" builtinId="9" hidden="1"/>
    <cellStyle name="Besøgt link" xfId="381" builtinId="9" hidden="1"/>
    <cellStyle name="Besøgt link" xfId="383" builtinId="9" hidden="1"/>
    <cellStyle name="Besøgt link" xfId="385" builtinId="9" hidden="1"/>
    <cellStyle name="Besøgt link" xfId="387" builtinId="9" hidden="1"/>
    <cellStyle name="Besøgt link" xfId="389" builtinId="9" hidden="1"/>
    <cellStyle name="Besøgt link" xfId="391" builtinId="9" hidden="1"/>
    <cellStyle name="Besøgt link" xfId="393" builtinId="9" hidden="1"/>
    <cellStyle name="Besøgt link" xfId="395" builtinId="9" hidden="1"/>
    <cellStyle name="Besøgt link" xfId="397" builtinId="9" hidden="1"/>
    <cellStyle name="Besøgt link" xfId="399" builtinId="9" hidden="1"/>
    <cellStyle name="Besøgt link" xfId="401" builtinId="9" hidden="1"/>
    <cellStyle name="Besøgt link" xfId="403" builtinId="9" hidden="1"/>
    <cellStyle name="Besøgt link" xfId="405" builtinId="9" hidden="1"/>
    <cellStyle name="Besøgt link" xfId="407" builtinId="9" hidden="1"/>
    <cellStyle name="Besøgt link" xfId="409" builtinId="9" hidden="1"/>
    <cellStyle name="Besøgt link" xfId="411" builtinId="9" hidden="1"/>
    <cellStyle name="Besøgt link" xfId="413" builtinId="9" hidden="1"/>
    <cellStyle name="Besøgt link" xfId="415" builtinId="9" hidden="1"/>
    <cellStyle name="Besøgt link" xfId="417" builtinId="9" hidden="1"/>
    <cellStyle name="Besøgt link" xfId="419" builtinId="9" hidden="1"/>
    <cellStyle name="Besøgt link" xfId="421" builtinId="9" hidden="1"/>
    <cellStyle name="Besøgt link" xfId="423" builtinId="9" hidden="1"/>
    <cellStyle name="Besøgt link" xfId="425" builtinId="9" hidden="1"/>
    <cellStyle name="Besøgt link" xfId="427" builtinId="9" hidden="1"/>
    <cellStyle name="Besøgt link" xfId="429" builtinId="9" hidden="1"/>
    <cellStyle name="Besøgt link" xfId="431" builtinId="9" hidden="1"/>
    <cellStyle name="Besøgt link" xfId="433" builtinId="9" hidden="1"/>
    <cellStyle name="Besøgt link" xfId="435" builtinId="9" hidden="1"/>
    <cellStyle name="Besøgt link" xfId="437" builtinId="9" hidden="1"/>
    <cellStyle name="Besøgt link" xfId="439" builtinId="9" hidden="1"/>
    <cellStyle name="Besøgt link" xfId="441" builtinId="9" hidden="1"/>
    <cellStyle name="Besøgt link" xfId="443" builtinId="9" hidden="1"/>
    <cellStyle name="Besøgt link" xfId="445" builtinId="9" hidden="1"/>
    <cellStyle name="Besøgt link" xfId="447" builtinId="9" hidden="1"/>
    <cellStyle name="Besøgt link" xfId="449" builtinId="9" hidden="1"/>
    <cellStyle name="Besøgt link" xfId="451" builtinId="9" hidden="1"/>
    <cellStyle name="Besøgt link" xfId="453" builtinId="9" hidden="1"/>
    <cellStyle name="Besøgt link" xfId="455" builtinId="9" hidden="1"/>
    <cellStyle name="Besøgt link" xfId="457" builtinId="9" hidden="1"/>
    <cellStyle name="Besøgt link" xfId="459" builtinId="9" hidden="1"/>
    <cellStyle name="Besøgt link" xfId="461" builtinId="9" hidden="1"/>
    <cellStyle name="Besøgt link" xfId="463" builtinId="9" hidden="1"/>
    <cellStyle name="Besøgt link" xfId="465" builtinId="9" hidden="1"/>
    <cellStyle name="Besøgt link" xfId="467" builtinId="9" hidden="1"/>
    <cellStyle name="Besøgt link" xfId="469" builtinId="9" hidden="1"/>
    <cellStyle name="Besøgt link" xfId="471" builtinId="9" hidden="1"/>
    <cellStyle name="Besøgt link" xfId="473" builtinId="9" hidden="1"/>
    <cellStyle name="Besøgt link" xfId="475" builtinId="9" hidden="1"/>
    <cellStyle name="Besøgt link" xfId="477" builtinId="9" hidden="1"/>
    <cellStyle name="Besøgt link" xfId="479" builtinId="9" hidden="1"/>
    <cellStyle name="Besøgt link" xfId="481" builtinId="9" hidden="1"/>
    <cellStyle name="Besøgt link" xfId="483" builtinId="9" hidden="1"/>
    <cellStyle name="Besøgt link" xfId="485" builtinId="9" hidden="1"/>
    <cellStyle name="Besøgt link" xfId="487" builtinId="9" hidden="1"/>
    <cellStyle name="Besøgt link" xfId="489" builtinId="9" hidden="1"/>
    <cellStyle name="Besøgt link" xfId="491" builtinId="9" hidden="1"/>
    <cellStyle name="Komma" xfId="5" builtinId="3"/>
    <cellStyle name="Link" xfId="1" builtinId="8" hidden="1"/>
    <cellStyle name="Link" xfId="3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8" builtinId="8" hidden="1"/>
    <cellStyle name="Link" xfId="180" builtinId="8" hidden="1"/>
    <cellStyle name="Link" xfId="182" builtinId="8" hidden="1"/>
    <cellStyle name="Link" xfId="184" builtinId="8" hidden="1"/>
    <cellStyle name="Link" xfId="186" builtinId="8" hidden="1"/>
    <cellStyle name="Link" xfId="188" builtinId="8" hidden="1"/>
    <cellStyle name="Link" xfId="190" builtinId="8" hidden="1"/>
    <cellStyle name="Link" xfId="192" builtinId="8" hidden="1"/>
    <cellStyle name="Link" xfId="194" builtinId="8" hidden="1"/>
    <cellStyle name="Link" xfId="196" builtinId="8" hidden="1"/>
    <cellStyle name="Link" xfId="198" builtinId="8" hidden="1"/>
    <cellStyle name="Link" xfId="200" builtinId="8" hidden="1"/>
    <cellStyle name="Link" xfId="202" builtinId="8" hidden="1"/>
    <cellStyle name="Link" xfId="204" builtinId="8" hidden="1"/>
    <cellStyle name="Link" xfId="206" builtinId="8" hidden="1"/>
    <cellStyle name="Link" xfId="208" builtinId="8" hidden="1"/>
    <cellStyle name="Link" xfId="210" builtinId="8" hidden="1"/>
    <cellStyle name="Link" xfId="212" builtinId="8" hidden="1"/>
    <cellStyle name="Link" xfId="214" builtinId="8" hidden="1"/>
    <cellStyle name="Link" xfId="216" builtinId="8" hidden="1"/>
    <cellStyle name="Link" xfId="218" builtinId="8" hidden="1"/>
    <cellStyle name="Link" xfId="220" builtinId="8" hidden="1"/>
    <cellStyle name="Link" xfId="222" builtinId="8" hidden="1"/>
    <cellStyle name="Link" xfId="224" builtinId="8" hidden="1"/>
    <cellStyle name="Link" xfId="226" builtinId="8" hidden="1"/>
    <cellStyle name="Link" xfId="228" builtinId="8" hidden="1"/>
    <cellStyle name="Link" xfId="230" builtinId="8" hidden="1"/>
    <cellStyle name="Link" xfId="232" builtinId="8" hidden="1"/>
    <cellStyle name="Link" xfId="234" builtinId="8" hidden="1"/>
    <cellStyle name="Link" xfId="236" builtinId="8" hidden="1"/>
    <cellStyle name="Link" xfId="238" builtinId="8" hidden="1"/>
    <cellStyle name="Link" xfId="240" builtinId="8" hidden="1"/>
    <cellStyle name="Link" xfId="242" builtinId="8" hidden="1"/>
    <cellStyle name="Link" xfId="244" builtinId="8" hidden="1"/>
    <cellStyle name="Link" xfId="246" builtinId="8" hidden="1"/>
    <cellStyle name="Link" xfId="248" builtinId="8" hidden="1"/>
    <cellStyle name="Link" xfId="250" builtinId="8" hidden="1"/>
    <cellStyle name="Link" xfId="252" builtinId="8" hidden="1"/>
    <cellStyle name="Link" xfId="254" builtinId="8" hidden="1"/>
    <cellStyle name="Link" xfId="256" builtinId="8" hidden="1"/>
    <cellStyle name="Link" xfId="258" builtinId="8" hidden="1"/>
    <cellStyle name="Link" xfId="260" builtinId="8" hidden="1"/>
    <cellStyle name="Link" xfId="262" builtinId="8" hidden="1"/>
    <cellStyle name="Link" xfId="264" builtinId="8" hidden="1"/>
    <cellStyle name="Link" xfId="266" builtinId="8" hidden="1"/>
    <cellStyle name="Link" xfId="268" builtinId="8" hidden="1"/>
    <cellStyle name="Link" xfId="270" builtinId="8" hidden="1"/>
    <cellStyle name="Link" xfId="272" builtinId="8" hidden="1"/>
    <cellStyle name="Link" xfId="274" builtinId="8" hidden="1"/>
    <cellStyle name="Link" xfId="276" builtinId="8" hidden="1"/>
    <cellStyle name="Link" xfId="278" builtinId="8" hidden="1"/>
    <cellStyle name="Link" xfId="280" builtinId="8" hidden="1"/>
    <cellStyle name="Link" xfId="282" builtinId="8" hidden="1"/>
    <cellStyle name="Link" xfId="284" builtinId="8" hidden="1"/>
    <cellStyle name="Link" xfId="286" builtinId="8" hidden="1"/>
    <cellStyle name="Link" xfId="288" builtinId="8" hidden="1"/>
    <cellStyle name="Link" xfId="290" builtinId="8" hidden="1"/>
    <cellStyle name="Link" xfId="292" builtinId="8" hidden="1"/>
    <cellStyle name="Link" xfId="294" builtinId="8" hidden="1"/>
    <cellStyle name="Link" xfId="296" builtinId="8" hidden="1"/>
    <cellStyle name="Link" xfId="298" builtinId="8" hidden="1"/>
    <cellStyle name="Link" xfId="300" builtinId="8" hidden="1"/>
    <cellStyle name="Link" xfId="302" builtinId="8" hidden="1"/>
    <cellStyle name="Link" xfId="304" builtinId="8" hidden="1"/>
    <cellStyle name="Link" xfId="306" builtinId="8" hidden="1"/>
    <cellStyle name="Link" xfId="308" builtinId="8" hidden="1"/>
    <cellStyle name="Link" xfId="310" builtinId="8" hidden="1"/>
    <cellStyle name="Link" xfId="312" builtinId="8" hidden="1"/>
    <cellStyle name="Link" xfId="314" builtinId="8" hidden="1"/>
    <cellStyle name="Link" xfId="316" builtinId="8" hidden="1"/>
    <cellStyle name="Link" xfId="318" builtinId="8" hidden="1"/>
    <cellStyle name="Link" xfId="320" builtinId="8" hidden="1"/>
    <cellStyle name="Link" xfId="322" builtinId="8" hidden="1"/>
    <cellStyle name="Link" xfId="324" builtinId="8" hidden="1"/>
    <cellStyle name="Link" xfId="326" builtinId="8" hidden="1"/>
    <cellStyle name="Link" xfId="328" builtinId="8" hidden="1"/>
    <cellStyle name="Link" xfId="330" builtinId="8" hidden="1"/>
    <cellStyle name="Link" xfId="332" builtinId="8" hidden="1"/>
    <cellStyle name="Link" xfId="334" builtinId="8" hidden="1"/>
    <cellStyle name="Link" xfId="336" builtinId="8" hidden="1"/>
    <cellStyle name="Link" xfId="338" builtinId="8" hidden="1"/>
    <cellStyle name="Link" xfId="340" builtinId="8" hidden="1"/>
    <cellStyle name="Link" xfId="342" builtinId="8" hidden="1"/>
    <cellStyle name="Link" xfId="344" builtinId="8" hidden="1"/>
    <cellStyle name="Link" xfId="346" builtinId="8" hidden="1"/>
    <cellStyle name="Link" xfId="348" builtinId="8" hidden="1"/>
    <cellStyle name="Link" xfId="350" builtinId="8" hidden="1"/>
    <cellStyle name="Link" xfId="352" builtinId="8" hidden="1"/>
    <cellStyle name="Link" xfId="354" builtinId="8" hidden="1"/>
    <cellStyle name="Link" xfId="356" builtinId="8" hidden="1"/>
    <cellStyle name="Link" xfId="358" builtinId="8" hidden="1"/>
    <cellStyle name="Link" xfId="360" builtinId="8" hidden="1"/>
    <cellStyle name="Link" xfId="362" builtinId="8" hidden="1"/>
    <cellStyle name="Link" xfId="364" builtinId="8" hidden="1"/>
    <cellStyle name="Link" xfId="366" builtinId="8" hidden="1"/>
    <cellStyle name="Link" xfId="368" builtinId="8" hidden="1"/>
    <cellStyle name="Link" xfId="370" builtinId="8" hidden="1"/>
    <cellStyle name="Link" xfId="372" builtinId="8" hidden="1"/>
    <cellStyle name="Link" xfId="374" builtinId="8" hidden="1"/>
    <cellStyle name="Link" xfId="376" builtinId="8" hidden="1"/>
    <cellStyle name="Link" xfId="378" builtinId="8" hidden="1"/>
    <cellStyle name="Link" xfId="380" builtinId="8" hidden="1"/>
    <cellStyle name="Link" xfId="382" builtinId="8" hidden="1"/>
    <cellStyle name="Link" xfId="384" builtinId="8" hidden="1"/>
    <cellStyle name="Link" xfId="386" builtinId="8" hidden="1"/>
    <cellStyle name="Link" xfId="388" builtinId="8" hidden="1"/>
    <cellStyle name="Link" xfId="390" builtinId="8" hidden="1"/>
    <cellStyle name="Link" xfId="392" builtinId="8" hidden="1"/>
    <cellStyle name="Link" xfId="394" builtinId="8" hidden="1"/>
    <cellStyle name="Link" xfId="396" builtinId="8" hidden="1"/>
    <cellStyle name="Link" xfId="398" builtinId="8" hidden="1"/>
    <cellStyle name="Link" xfId="400" builtinId="8" hidden="1"/>
    <cellStyle name="Link" xfId="402" builtinId="8" hidden="1"/>
    <cellStyle name="Link" xfId="404" builtinId="8" hidden="1"/>
    <cellStyle name="Link" xfId="406" builtinId="8" hidden="1"/>
    <cellStyle name="Link" xfId="408" builtinId="8" hidden="1"/>
    <cellStyle name="Link" xfId="410" builtinId="8" hidden="1"/>
    <cellStyle name="Link" xfId="412" builtinId="8" hidden="1"/>
    <cellStyle name="Link" xfId="414" builtinId="8" hidden="1"/>
    <cellStyle name="Link" xfId="416" builtinId="8" hidden="1"/>
    <cellStyle name="Link" xfId="418" builtinId="8" hidden="1"/>
    <cellStyle name="Link" xfId="420" builtinId="8" hidden="1"/>
    <cellStyle name="Link" xfId="422" builtinId="8" hidden="1"/>
    <cellStyle name="Link" xfId="424" builtinId="8" hidden="1"/>
    <cellStyle name="Link" xfId="426" builtinId="8" hidden="1"/>
    <cellStyle name="Link" xfId="428" builtinId="8" hidden="1"/>
    <cellStyle name="Link" xfId="430" builtinId="8" hidden="1"/>
    <cellStyle name="Link" xfId="432" builtinId="8" hidden="1"/>
    <cellStyle name="Link" xfId="434" builtinId="8" hidden="1"/>
    <cellStyle name="Link" xfId="436" builtinId="8" hidden="1"/>
    <cellStyle name="Link" xfId="438" builtinId="8" hidden="1"/>
    <cellStyle name="Link" xfId="440" builtinId="8" hidden="1"/>
    <cellStyle name="Link" xfId="442" builtinId="8" hidden="1"/>
    <cellStyle name="Link" xfId="444" builtinId="8" hidden="1"/>
    <cellStyle name="Link" xfId="446" builtinId="8" hidden="1"/>
    <cellStyle name="Link" xfId="448" builtinId="8" hidden="1"/>
    <cellStyle name="Link" xfId="450" builtinId="8" hidden="1"/>
    <cellStyle name="Link" xfId="452" builtinId="8" hidden="1"/>
    <cellStyle name="Link" xfId="454" builtinId="8" hidden="1"/>
    <cellStyle name="Link" xfId="456" builtinId="8" hidden="1"/>
    <cellStyle name="Link" xfId="458" builtinId="8" hidden="1"/>
    <cellStyle name="Link" xfId="460" builtinId="8" hidden="1"/>
    <cellStyle name="Link" xfId="462" builtinId="8" hidden="1"/>
    <cellStyle name="Link" xfId="464" builtinId="8" hidden="1"/>
    <cellStyle name="Link" xfId="466" builtinId="8" hidden="1"/>
    <cellStyle name="Link" xfId="468" builtinId="8" hidden="1"/>
    <cellStyle name="Link" xfId="470" builtinId="8" hidden="1"/>
    <cellStyle name="Link" xfId="472" builtinId="8" hidden="1"/>
    <cellStyle name="Link" xfId="474" builtinId="8" hidden="1"/>
    <cellStyle name="Link" xfId="476" builtinId="8" hidden="1"/>
    <cellStyle name="Link" xfId="478" builtinId="8" hidden="1"/>
    <cellStyle name="Link" xfId="480" builtinId="8" hidden="1"/>
    <cellStyle name="Link" xfId="482" builtinId="8" hidden="1"/>
    <cellStyle name="Link" xfId="484" builtinId="8" hidden="1"/>
    <cellStyle name="Link" xfId="486" builtinId="8" hidden="1"/>
    <cellStyle name="Link" xfId="488" builtinId="8" hidden="1"/>
    <cellStyle name="Link" xfId="490" builtinId="8" hidden="1"/>
    <cellStyle name="Normal" xfId="0" builtinId="0"/>
    <cellStyle name="Normal 2" xfId="177"/>
    <cellStyle name="Procent" xfId="6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Finansiering: Nu</a:t>
            </a:r>
          </a:p>
        </c:rich>
      </c:tx>
      <c:overlay val="0"/>
    </c:title>
    <c:autoTitleDeleted val="0"/>
    <c:view3D>
      <c:rotX val="30"/>
      <c:rotY val="1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Beregninger!$P$4:$P$8</c:f>
              <c:strCache>
                <c:ptCount val="5"/>
                <c:pt idx="0">
                  <c:v>Realkredit</c:v>
                </c:pt>
                <c:pt idx="1">
                  <c:v>Bank</c:v>
                </c:pt>
                <c:pt idx="2">
                  <c:v>Andet</c:v>
                </c:pt>
                <c:pt idx="3">
                  <c:v>Hensættelser</c:v>
                </c:pt>
                <c:pt idx="4">
                  <c:v>Egenkapital</c:v>
                </c:pt>
              </c:strCache>
            </c:strRef>
          </c:cat>
          <c:val>
            <c:numRef>
              <c:f>Beregninger!$Q$4:$Q$8</c:f>
              <c:numCache>
                <c:formatCode>General</c:formatCode>
                <c:ptCount val="5"/>
                <c:pt idx="0">
                  <c:v>12500000</c:v>
                </c:pt>
                <c:pt idx="1">
                  <c:v>500000</c:v>
                </c:pt>
                <c:pt idx="2">
                  <c:v>1000000</c:v>
                </c:pt>
                <c:pt idx="3">
                  <c:v>3500000</c:v>
                </c:pt>
                <c:pt idx="4">
                  <c:v>12500000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0-44EA-BA12-0738B38BF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Ændret bidragssats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Beregninger!$P$64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Beregninger!$T$61:$AD$61</c:f>
              <c:numCache>
                <c:formatCode>General</c:formatCode>
                <c:ptCount val="11"/>
                <c:pt idx="0">
                  <c:v>-112500</c:v>
                </c:pt>
                <c:pt idx="1">
                  <c:v>-90000</c:v>
                </c:pt>
                <c:pt idx="2">
                  <c:v>-67500</c:v>
                </c:pt>
                <c:pt idx="3">
                  <c:v>-45000</c:v>
                </c:pt>
                <c:pt idx="4">
                  <c:v>-22500</c:v>
                </c:pt>
                <c:pt idx="5">
                  <c:v>0</c:v>
                </c:pt>
                <c:pt idx="6">
                  <c:v>22500</c:v>
                </c:pt>
                <c:pt idx="7">
                  <c:v>45000</c:v>
                </c:pt>
                <c:pt idx="8">
                  <c:v>67500</c:v>
                </c:pt>
                <c:pt idx="9">
                  <c:v>90000</c:v>
                </c:pt>
                <c:pt idx="10">
                  <c:v>112500</c:v>
                </c:pt>
              </c:numCache>
            </c:numRef>
          </c:xVal>
          <c:yVal>
            <c:numRef>
              <c:f>Beregninger!$T$64:$AD$64</c:f>
              <c:numCache>
                <c:formatCode>0.00%</c:formatCode>
                <c:ptCount val="1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4B5-482E-A8B2-DC2181A02B7F}"/>
            </c:ext>
          </c:extLst>
        </c:ser>
        <c:ser>
          <c:idx val="2"/>
          <c:order val="1"/>
          <c:tx>
            <c:strRef>
              <c:f>Beregninger!$P$66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Beregninger!$T$61:$AD$61</c:f>
              <c:numCache>
                <c:formatCode>General</c:formatCode>
                <c:ptCount val="11"/>
                <c:pt idx="0">
                  <c:v>-112500</c:v>
                </c:pt>
                <c:pt idx="1">
                  <c:v>-90000</c:v>
                </c:pt>
                <c:pt idx="2">
                  <c:v>-67500</c:v>
                </c:pt>
                <c:pt idx="3">
                  <c:v>-45000</c:v>
                </c:pt>
                <c:pt idx="4">
                  <c:v>-22500</c:v>
                </c:pt>
                <c:pt idx="5">
                  <c:v>0</c:v>
                </c:pt>
                <c:pt idx="6">
                  <c:v>22500</c:v>
                </c:pt>
                <c:pt idx="7">
                  <c:v>45000</c:v>
                </c:pt>
                <c:pt idx="8">
                  <c:v>67500</c:v>
                </c:pt>
                <c:pt idx="9">
                  <c:v>90000</c:v>
                </c:pt>
                <c:pt idx="10">
                  <c:v>112500</c:v>
                </c:pt>
              </c:numCache>
            </c:numRef>
          </c:xVal>
          <c:yVal>
            <c:numRef>
              <c:f>Beregninger!$T$66:$AD$66</c:f>
              <c:numCache>
                <c:formatCode>0.00%</c:formatCode>
                <c:ptCount val="1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4B5-482E-A8B2-DC2181A02B7F}"/>
            </c:ext>
          </c:extLst>
        </c:ser>
        <c:ser>
          <c:idx val="3"/>
          <c:order val="2"/>
          <c:tx>
            <c:strRef>
              <c:f>Beregninger!$P$68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Beregninger!$T$61:$AD$61</c:f>
              <c:numCache>
                <c:formatCode>General</c:formatCode>
                <c:ptCount val="11"/>
                <c:pt idx="0">
                  <c:v>-112500</c:v>
                </c:pt>
                <c:pt idx="1">
                  <c:v>-90000</c:v>
                </c:pt>
                <c:pt idx="2">
                  <c:v>-67500</c:v>
                </c:pt>
                <c:pt idx="3">
                  <c:v>-45000</c:v>
                </c:pt>
                <c:pt idx="4">
                  <c:v>-22500</c:v>
                </c:pt>
                <c:pt idx="5">
                  <c:v>0</c:v>
                </c:pt>
                <c:pt idx="6">
                  <c:v>22500</c:v>
                </c:pt>
                <c:pt idx="7">
                  <c:v>45000</c:v>
                </c:pt>
                <c:pt idx="8">
                  <c:v>67500</c:v>
                </c:pt>
                <c:pt idx="9">
                  <c:v>90000</c:v>
                </c:pt>
                <c:pt idx="10">
                  <c:v>112500</c:v>
                </c:pt>
              </c:numCache>
            </c:numRef>
          </c:xVal>
          <c:yVal>
            <c:numRef>
              <c:f>Beregninger!$T$68:$AD$68</c:f>
              <c:numCache>
                <c:formatCode>General</c:formatCode>
                <c:ptCount val="1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4B5-482E-A8B2-DC2181A02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07360"/>
        <c:axId val="50221440"/>
      </c:scatterChart>
      <c:valAx>
        <c:axId val="50207360"/>
        <c:scaling>
          <c:orientation val="minMax"/>
          <c:max val="5.0000000000000001E-3"/>
          <c:min val="-5.0000000000000001E-3"/>
        </c:scaling>
        <c:delete val="0"/>
        <c:axPos val="b"/>
        <c:numFmt formatCode="General" sourceLinked="1"/>
        <c:majorTickMark val="out"/>
        <c:minorTickMark val="none"/>
        <c:tickLblPos val="nextTo"/>
        <c:crossAx val="50221440"/>
        <c:crosses val="autoZero"/>
        <c:crossBetween val="midCat"/>
      </c:valAx>
      <c:valAx>
        <c:axId val="5022144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0207360"/>
        <c:crosses val="autoZero"/>
        <c:crossBetween val="midCat"/>
        <c:majorUnit val="0.01"/>
        <c:minorUnit val="2E-3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Alternativ inflation</a:t>
            </a:r>
          </a:p>
        </c:rich>
      </c:tx>
      <c:layout>
        <c:manualLayout>
          <c:xMode val="edge"/>
          <c:yMode val="edge"/>
          <c:x val="0.39862711292014003"/>
          <c:y val="3.0821917808219201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Beregninger!$P$40</c:f>
              <c:strCache>
                <c:ptCount val="1"/>
                <c:pt idx="0">
                  <c:v>Kalkulationsrente efter skat</c:v>
                </c:pt>
              </c:strCache>
            </c:strRef>
          </c:tx>
          <c:marker>
            <c:symbol val="none"/>
          </c:marker>
          <c:xVal>
            <c:numRef>
              <c:f>Beregninger!$T$38:$AD$38</c:f>
              <c:numCache>
                <c:formatCode>0.00%</c:formatCode>
                <c:ptCount val="11"/>
                <c:pt idx="0">
                  <c:v>3.84585941188514E-2</c:v>
                </c:pt>
                <c:pt idx="1">
                  <c:v>3.84585941188514E-2</c:v>
                </c:pt>
                <c:pt idx="2">
                  <c:v>3.84585941188514E-2</c:v>
                </c:pt>
                <c:pt idx="3">
                  <c:v>3.84585941188514E-2</c:v>
                </c:pt>
                <c:pt idx="4">
                  <c:v>3.84585941188514E-2</c:v>
                </c:pt>
                <c:pt idx="5">
                  <c:v>3.84585941188514E-2</c:v>
                </c:pt>
                <c:pt idx="6">
                  <c:v>3.84585941188514E-2</c:v>
                </c:pt>
                <c:pt idx="7">
                  <c:v>3.84585941188514E-2</c:v>
                </c:pt>
                <c:pt idx="8">
                  <c:v>3.84585941188514E-2</c:v>
                </c:pt>
                <c:pt idx="9">
                  <c:v>3.84585941188514E-2</c:v>
                </c:pt>
                <c:pt idx="10">
                  <c:v>3.84585941188514E-2</c:v>
                </c:pt>
              </c:numCache>
            </c:numRef>
          </c:xVal>
          <c:yVal>
            <c:numRef>
              <c:f>Beregninger!$T$40:$AD$40</c:f>
              <c:numCache>
                <c:formatCode>0.00%</c:formatCode>
                <c:ptCount val="11"/>
                <c:pt idx="0">
                  <c:v>2.9997703412704101E-2</c:v>
                </c:pt>
                <c:pt idx="1">
                  <c:v>2.9997703412704101E-2</c:v>
                </c:pt>
                <c:pt idx="2">
                  <c:v>2.9997703412704101E-2</c:v>
                </c:pt>
                <c:pt idx="3">
                  <c:v>2.9997703412704101E-2</c:v>
                </c:pt>
                <c:pt idx="4">
                  <c:v>2.9997703412704101E-2</c:v>
                </c:pt>
                <c:pt idx="5">
                  <c:v>2.9997703412704101E-2</c:v>
                </c:pt>
                <c:pt idx="6">
                  <c:v>2.9997703412704101E-2</c:v>
                </c:pt>
                <c:pt idx="7">
                  <c:v>2.9997703412704101E-2</c:v>
                </c:pt>
                <c:pt idx="8">
                  <c:v>2.9997703412704101E-2</c:v>
                </c:pt>
                <c:pt idx="9">
                  <c:v>2.9997703412704101E-2</c:v>
                </c:pt>
                <c:pt idx="10">
                  <c:v>2.9997703412704101E-2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0E-4838-80A5-3B1C7856D918}"/>
            </c:ext>
          </c:extLst>
        </c:ser>
        <c:ser>
          <c:idx val="2"/>
          <c:order val="1"/>
          <c:tx>
            <c:strRef>
              <c:f>Beregninger!$P$42</c:f>
              <c:strCache>
                <c:ptCount val="1"/>
                <c:pt idx="0">
                  <c:v>Kalkulationsrente efter skat og inflation</c:v>
                </c:pt>
              </c:strCache>
            </c:strRef>
          </c:tx>
          <c:marker>
            <c:symbol val="none"/>
          </c:marker>
          <c:xVal>
            <c:numRef>
              <c:f>Beregninger!$T$38:$AD$38</c:f>
              <c:numCache>
                <c:formatCode>0.00%</c:formatCode>
                <c:ptCount val="11"/>
                <c:pt idx="0">
                  <c:v>3.84585941188514E-2</c:v>
                </c:pt>
                <c:pt idx="1">
                  <c:v>3.84585941188514E-2</c:v>
                </c:pt>
                <c:pt idx="2">
                  <c:v>3.84585941188514E-2</c:v>
                </c:pt>
                <c:pt idx="3">
                  <c:v>3.84585941188514E-2</c:v>
                </c:pt>
                <c:pt idx="4">
                  <c:v>3.84585941188514E-2</c:v>
                </c:pt>
                <c:pt idx="5">
                  <c:v>3.84585941188514E-2</c:v>
                </c:pt>
                <c:pt idx="6">
                  <c:v>3.84585941188514E-2</c:v>
                </c:pt>
                <c:pt idx="7">
                  <c:v>3.84585941188514E-2</c:v>
                </c:pt>
                <c:pt idx="8">
                  <c:v>3.84585941188514E-2</c:v>
                </c:pt>
                <c:pt idx="9">
                  <c:v>3.84585941188514E-2</c:v>
                </c:pt>
                <c:pt idx="10">
                  <c:v>3.84585941188514E-2</c:v>
                </c:pt>
              </c:numCache>
            </c:numRef>
          </c:xVal>
          <c:yVal>
            <c:numRef>
              <c:f>Beregninger!$T$42:$AD$42</c:f>
              <c:numCache>
                <c:formatCode>0.00%</c:formatCode>
                <c:ptCount val="11"/>
                <c:pt idx="0">
                  <c:v>2.4873336729059004E-2</c:v>
                </c:pt>
                <c:pt idx="1">
                  <c:v>2.2837838542903999E-2</c:v>
                </c:pt>
                <c:pt idx="2">
                  <c:v>2.0810409725177559E-2</c:v>
                </c:pt>
                <c:pt idx="3">
                  <c:v>1.8791002386453259E-2</c:v>
                </c:pt>
                <c:pt idx="4">
                  <c:v>1.6779569015502593E-2</c:v>
                </c:pt>
                <c:pt idx="5">
                  <c:v>1.4776062475570617E-2</c:v>
                </c:pt>
                <c:pt idx="6">
                  <c:v>1.2780436000692452E-2</c:v>
                </c:pt>
                <c:pt idx="7">
                  <c:v>1.0792643192055085E-2</c:v>
                </c:pt>
                <c:pt idx="8">
                  <c:v>8.8126380144017968E-3</c:v>
                </c:pt>
                <c:pt idx="9">
                  <c:v>6.8403747924772329E-3</c:v>
                </c:pt>
                <c:pt idx="10">
                  <c:v>4.8758082075162079E-3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60E-4838-80A5-3B1C7856D918}"/>
            </c:ext>
          </c:extLst>
        </c:ser>
        <c:ser>
          <c:idx val="3"/>
          <c:order val="2"/>
          <c:tx>
            <c:strRef>
              <c:f>Beregninger!$P$44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Beregninger!$T$38:$AD$38</c:f>
              <c:numCache>
                <c:formatCode>0.00%</c:formatCode>
                <c:ptCount val="11"/>
                <c:pt idx="0">
                  <c:v>3.84585941188514E-2</c:v>
                </c:pt>
                <c:pt idx="1">
                  <c:v>3.84585941188514E-2</c:v>
                </c:pt>
                <c:pt idx="2">
                  <c:v>3.84585941188514E-2</c:v>
                </c:pt>
                <c:pt idx="3">
                  <c:v>3.84585941188514E-2</c:v>
                </c:pt>
                <c:pt idx="4">
                  <c:v>3.84585941188514E-2</c:v>
                </c:pt>
                <c:pt idx="5">
                  <c:v>3.84585941188514E-2</c:v>
                </c:pt>
                <c:pt idx="6">
                  <c:v>3.84585941188514E-2</c:v>
                </c:pt>
                <c:pt idx="7">
                  <c:v>3.84585941188514E-2</c:v>
                </c:pt>
                <c:pt idx="8">
                  <c:v>3.84585941188514E-2</c:v>
                </c:pt>
                <c:pt idx="9">
                  <c:v>3.84585941188514E-2</c:v>
                </c:pt>
                <c:pt idx="10">
                  <c:v>3.84585941188514E-2</c:v>
                </c:pt>
              </c:numCache>
            </c:numRef>
          </c:xVal>
          <c:yVal>
            <c:numRef>
              <c:f>Beregninger!$T$44:$AD$44</c:f>
              <c:numCache>
                <c:formatCode>General</c:formatCode>
                <c:ptCount val="1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60E-4838-80A5-3B1C7856D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41920"/>
        <c:axId val="50243456"/>
      </c:scatterChart>
      <c:valAx>
        <c:axId val="50241920"/>
        <c:scaling>
          <c:orientation val="minMax"/>
          <c:max val="2.5000000000000001E-2"/>
          <c:min val="5.0000000000000001E-3"/>
        </c:scaling>
        <c:delete val="0"/>
        <c:axPos val="b"/>
        <c:numFmt formatCode="0.00%" sourceLinked="1"/>
        <c:majorTickMark val="out"/>
        <c:minorTickMark val="none"/>
        <c:tickLblPos val="nextTo"/>
        <c:crossAx val="50243456"/>
        <c:crosses val="autoZero"/>
        <c:crossBetween val="midCat"/>
      </c:valAx>
      <c:valAx>
        <c:axId val="50243456"/>
        <c:scaling>
          <c:orientation val="minMax"/>
          <c:max val="0.05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024192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Ændret bankrente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Beregninger!$P$64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Beregninger!$T$73:$AD$73</c:f>
              <c:numCache>
                <c:formatCode>General</c:formatCode>
                <c:ptCount val="11"/>
                <c:pt idx="0">
                  <c:v>-5000</c:v>
                </c:pt>
                <c:pt idx="1">
                  <c:v>-3750</c:v>
                </c:pt>
                <c:pt idx="2">
                  <c:v>-2500</c:v>
                </c:pt>
                <c:pt idx="3">
                  <c:v>-1250</c:v>
                </c:pt>
                <c:pt idx="4">
                  <c:v>0</c:v>
                </c:pt>
                <c:pt idx="5">
                  <c:v>1250</c:v>
                </c:pt>
                <c:pt idx="6">
                  <c:v>2500</c:v>
                </c:pt>
                <c:pt idx="7">
                  <c:v>3750</c:v>
                </c:pt>
                <c:pt idx="8">
                  <c:v>5000</c:v>
                </c:pt>
                <c:pt idx="9">
                  <c:v>6250</c:v>
                </c:pt>
                <c:pt idx="10">
                  <c:v>7500</c:v>
                </c:pt>
              </c:numCache>
            </c:numRef>
          </c:xVal>
          <c:yVal>
            <c:numRef>
              <c:f>Beregninger!$T$76:$AD$76</c:f>
              <c:numCache>
                <c:formatCode>0.00%</c:formatCode>
                <c:ptCount val="1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A28-4CC0-82E4-37642D1066F4}"/>
            </c:ext>
          </c:extLst>
        </c:ser>
        <c:ser>
          <c:idx val="2"/>
          <c:order val="1"/>
          <c:tx>
            <c:strRef>
              <c:f>Beregninger!$P$78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Beregninger!$T$73:$AD$73</c:f>
              <c:numCache>
                <c:formatCode>General</c:formatCode>
                <c:ptCount val="11"/>
                <c:pt idx="0">
                  <c:v>-5000</c:v>
                </c:pt>
                <c:pt idx="1">
                  <c:v>-3750</c:v>
                </c:pt>
                <c:pt idx="2">
                  <c:v>-2500</c:v>
                </c:pt>
                <c:pt idx="3">
                  <c:v>-1250</c:v>
                </c:pt>
                <c:pt idx="4">
                  <c:v>0</c:v>
                </c:pt>
                <c:pt idx="5">
                  <c:v>1250</c:v>
                </c:pt>
                <c:pt idx="6">
                  <c:v>2500</c:v>
                </c:pt>
                <c:pt idx="7">
                  <c:v>3750</c:v>
                </c:pt>
                <c:pt idx="8">
                  <c:v>5000</c:v>
                </c:pt>
                <c:pt idx="9">
                  <c:v>6250</c:v>
                </c:pt>
                <c:pt idx="10">
                  <c:v>7500</c:v>
                </c:pt>
              </c:numCache>
            </c:numRef>
          </c:xVal>
          <c:yVal>
            <c:numRef>
              <c:f>Beregninger!$T$78:$AD$78</c:f>
              <c:numCache>
                <c:formatCode>0.00%</c:formatCode>
                <c:ptCount val="1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A28-4CC0-82E4-37642D1066F4}"/>
            </c:ext>
          </c:extLst>
        </c:ser>
        <c:ser>
          <c:idx val="3"/>
          <c:order val="2"/>
          <c:tx>
            <c:strRef>
              <c:f>Beregninger!$P$80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Beregninger!$T$73:$AD$73</c:f>
              <c:numCache>
                <c:formatCode>General</c:formatCode>
                <c:ptCount val="11"/>
                <c:pt idx="0">
                  <c:v>-5000</c:v>
                </c:pt>
                <c:pt idx="1">
                  <c:v>-3750</c:v>
                </c:pt>
                <c:pt idx="2">
                  <c:v>-2500</c:v>
                </c:pt>
                <c:pt idx="3">
                  <c:v>-1250</c:v>
                </c:pt>
                <c:pt idx="4">
                  <c:v>0</c:v>
                </c:pt>
                <c:pt idx="5">
                  <c:v>1250</c:v>
                </c:pt>
                <c:pt idx="6">
                  <c:v>2500</c:v>
                </c:pt>
                <c:pt idx="7">
                  <c:v>3750</c:v>
                </c:pt>
                <c:pt idx="8">
                  <c:v>5000</c:v>
                </c:pt>
                <c:pt idx="9">
                  <c:v>6250</c:v>
                </c:pt>
                <c:pt idx="10">
                  <c:v>7500</c:v>
                </c:pt>
              </c:numCache>
            </c:numRef>
          </c:xVal>
          <c:yVal>
            <c:numRef>
              <c:f>Beregninger!$T$80:$AD$80</c:f>
              <c:numCache>
                <c:formatCode>0.00%</c:formatCode>
                <c:ptCount val="1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A28-4CC0-82E4-37642D106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30016"/>
        <c:axId val="50721920"/>
      </c:scatterChart>
      <c:valAx>
        <c:axId val="50630016"/>
        <c:scaling>
          <c:orientation val="minMax"/>
          <c:max val="1.4999999999999999E-2"/>
          <c:min val="-0.01"/>
        </c:scaling>
        <c:delete val="0"/>
        <c:axPos val="b"/>
        <c:numFmt formatCode="General" sourceLinked="1"/>
        <c:majorTickMark val="out"/>
        <c:minorTickMark val="none"/>
        <c:tickLblPos val="nextTo"/>
        <c:crossAx val="50721920"/>
        <c:crosses val="autoZero"/>
        <c:crossBetween val="midCat"/>
      </c:valAx>
      <c:valAx>
        <c:axId val="50721920"/>
        <c:scaling>
          <c:orientation val="minMax"/>
          <c:max val="0.05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0630016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Finansiering: Efter</a:t>
            </a:r>
          </a:p>
        </c:rich>
      </c:tx>
      <c:overlay val="0"/>
    </c:title>
    <c:autoTitleDeleted val="0"/>
    <c:view3D>
      <c:rotX val="30"/>
      <c:rotY val="1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Beregninger!$P$4:$P$8</c:f>
              <c:strCache>
                <c:ptCount val="5"/>
                <c:pt idx="0">
                  <c:v>Realkredit</c:v>
                </c:pt>
                <c:pt idx="1">
                  <c:v>Bank</c:v>
                </c:pt>
                <c:pt idx="2">
                  <c:v>Andet</c:v>
                </c:pt>
                <c:pt idx="3">
                  <c:v>Hensættelser</c:v>
                </c:pt>
                <c:pt idx="4">
                  <c:v>Egenkapital</c:v>
                </c:pt>
              </c:strCache>
            </c:strRef>
          </c:cat>
          <c:val>
            <c:numRef>
              <c:f>Beregninger!$R$4:$R$8</c:f>
              <c:numCache>
                <c:formatCode>General</c:formatCode>
                <c:ptCount val="5"/>
                <c:pt idx="0">
                  <c:v>22500000</c:v>
                </c:pt>
                <c:pt idx="1">
                  <c:v>500000</c:v>
                </c:pt>
                <c:pt idx="2">
                  <c:v>1000000</c:v>
                </c:pt>
                <c:pt idx="3">
                  <c:v>3500000</c:v>
                </c:pt>
                <c:pt idx="4">
                  <c:v>12500000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5-4623-A9F2-1B8F4DF26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Kalkulationsrenten ved alternativ inflation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Beregninger!$P$38</c:f>
              <c:strCache>
                <c:ptCount val="1"/>
                <c:pt idx="0">
                  <c:v>Kalkulationsrente, brutto</c:v>
                </c:pt>
              </c:strCache>
            </c:strRef>
          </c:tx>
          <c:marker>
            <c:symbol val="none"/>
          </c:marker>
          <c:xVal>
            <c:numRef>
              <c:f>Beregninger!$T$36:$AD$36</c:f>
              <c:numCache>
                <c:formatCode>0.00%</c:formatCode>
                <c:ptCount val="11"/>
                <c:pt idx="0">
                  <c:v>5.0000000000000001E-3</c:v>
                </c:pt>
                <c:pt idx="1">
                  <c:v>7.0000000000000001E-3</c:v>
                </c:pt>
                <c:pt idx="2">
                  <c:v>8.9999999999999993E-3</c:v>
                </c:pt>
                <c:pt idx="3">
                  <c:v>1.0999999999999999E-2</c:v>
                </c:pt>
                <c:pt idx="4">
                  <c:v>1.2999999999999999E-2</c:v>
                </c:pt>
                <c:pt idx="5">
                  <c:v>1.4999999999999999E-2</c:v>
                </c:pt>
                <c:pt idx="6">
                  <c:v>1.7000000000000001E-2</c:v>
                </c:pt>
                <c:pt idx="7">
                  <c:v>1.9E-2</c:v>
                </c:pt>
                <c:pt idx="8">
                  <c:v>2.1000000000000001E-2</c:v>
                </c:pt>
                <c:pt idx="9">
                  <c:v>2.3E-2</c:v>
                </c:pt>
                <c:pt idx="10">
                  <c:v>2.5000000000000001E-2</c:v>
                </c:pt>
              </c:numCache>
            </c:numRef>
          </c:xVal>
          <c:yVal>
            <c:numRef>
              <c:f>Beregninger!$T$38:$AD$38</c:f>
              <c:numCache>
                <c:formatCode>0.00%</c:formatCode>
                <c:ptCount val="11"/>
                <c:pt idx="0">
                  <c:v>3.84585941188514E-2</c:v>
                </c:pt>
                <c:pt idx="1">
                  <c:v>3.84585941188514E-2</c:v>
                </c:pt>
                <c:pt idx="2">
                  <c:v>3.84585941188514E-2</c:v>
                </c:pt>
                <c:pt idx="3">
                  <c:v>3.84585941188514E-2</c:v>
                </c:pt>
                <c:pt idx="4">
                  <c:v>3.84585941188514E-2</c:v>
                </c:pt>
                <c:pt idx="5">
                  <c:v>3.84585941188514E-2</c:v>
                </c:pt>
                <c:pt idx="6">
                  <c:v>3.84585941188514E-2</c:v>
                </c:pt>
                <c:pt idx="7">
                  <c:v>3.84585941188514E-2</c:v>
                </c:pt>
                <c:pt idx="8">
                  <c:v>3.84585941188514E-2</c:v>
                </c:pt>
                <c:pt idx="9">
                  <c:v>3.84585941188514E-2</c:v>
                </c:pt>
                <c:pt idx="10">
                  <c:v>3.84585941188514E-2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E3-446B-8FFF-F9AC65FFD474}"/>
            </c:ext>
          </c:extLst>
        </c:ser>
        <c:ser>
          <c:idx val="2"/>
          <c:order val="1"/>
          <c:tx>
            <c:strRef>
              <c:f>Beregninger!$P$40</c:f>
              <c:strCache>
                <c:ptCount val="1"/>
                <c:pt idx="0">
                  <c:v>Kalkulationsrente efter skat</c:v>
                </c:pt>
              </c:strCache>
            </c:strRef>
          </c:tx>
          <c:marker>
            <c:symbol val="none"/>
          </c:marker>
          <c:xVal>
            <c:numRef>
              <c:f>Beregninger!$T$36:$AD$36</c:f>
              <c:numCache>
                <c:formatCode>0.00%</c:formatCode>
                <c:ptCount val="11"/>
                <c:pt idx="0">
                  <c:v>5.0000000000000001E-3</c:v>
                </c:pt>
                <c:pt idx="1">
                  <c:v>7.0000000000000001E-3</c:v>
                </c:pt>
                <c:pt idx="2">
                  <c:v>8.9999999999999993E-3</c:v>
                </c:pt>
                <c:pt idx="3">
                  <c:v>1.0999999999999999E-2</c:v>
                </c:pt>
                <c:pt idx="4">
                  <c:v>1.2999999999999999E-2</c:v>
                </c:pt>
                <c:pt idx="5">
                  <c:v>1.4999999999999999E-2</c:v>
                </c:pt>
                <c:pt idx="6">
                  <c:v>1.7000000000000001E-2</c:v>
                </c:pt>
                <c:pt idx="7">
                  <c:v>1.9E-2</c:v>
                </c:pt>
                <c:pt idx="8">
                  <c:v>2.1000000000000001E-2</c:v>
                </c:pt>
                <c:pt idx="9">
                  <c:v>2.3E-2</c:v>
                </c:pt>
                <c:pt idx="10">
                  <c:v>2.5000000000000001E-2</c:v>
                </c:pt>
              </c:numCache>
            </c:numRef>
          </c:xVal>
          <c:yVal>
            <c:numRef>
              <c:f>Beregninger!$T$40:$AD$40</c:f>
              <c:numCache>
                <c:formatCode>0.00%</c:formatCode>
                <c:ptCount val="11"/>
                <c:pt idx="0">
                  <c:v>2.9997703412704101E-2</c:v>
                </c:pt>
                <c:pt idx="1">
                  <c:v>2.9997703412704101E-2</c:v>
                </c:pt>
                <c:pt idx="2">
                  <c:v>2.9997703412704101E-2</c:v>
                </c:pt>
                <c:pt idx="3">
                  <c:v>2.9997703412704101E-2</c:v>
                </c:pt>
                <c:pt idx="4">
                  <c:v>2.9997703412704101E-2</c:v>
                </c:pt>
                <c:pt idx="5">
                  <c:v>2.9997703412704101E-2</c:v>
                </c:pt>
                <c:pt idx="6">
                  <c:v>2.9997703412704101E-2</c:v>
                </c:pt>
                <c:pt idx="7">
                  <c:v>2.9997703412704101E-2</c:v>
                </c:pt>
                <c:pt idx="8">
                  <c:v>2.9997703412704101E-2</c:v>
                </c:pt>
                <c:pt idx="9">
                  <c:v>2.9997703412704101E-2</c:v>
                </c:pt>
                <c:pt idx="10">
                  <c:v>2.9997703412704101E-2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CE3-446B-8FFF-F9AC65FFD474}"/>
            </c:ext>
          </c:extLst>
        </c:ser>
        <c:ser>
          <c:idx val="3"/>
          <c:order val="2"/>
          <c:tx>
            <c:strRef>
              <c:f>Beregninger!$P$42</c:f>
              <c:strCache>
                <c:ptCount val="1"/>
                <c:pt idx="0">
                  <c:v>Kalkulationsrente efter skat og inflation</c:v>
                </c:pt>
              </c:strCache>
            </c:strRef>
          </c:tx>
          <c:marker>
            <c:symbol val="none"/>
          </c:marker>
          <c:xVal>
            <c:numRef>
              <c:f>Beregninger!$T$36:$AD$36</c:f>
              <c:numCache>
                <c:formatCode>0.00%</c:formatCode>
                <c:ptCount val="11"/>
                <c:pt idx="0">
                  <c:v>5.0000000000000001E-3</c:v>
                </c:pt>
                <c:pt idx="1">
                  <c:v>7.0000000000000001E-3</c:v>
                </c:pt>
                <c:pt idx="2">
                  <c:v>8.9999999999999993E-3</c:v>
                </c:pt>
                <c:pt idx="3">
                  <c:v>1.0999999999999999E-2</c:v>
                </c:pt>
                <c:pt idx="4">
                  <c:v>1.2999999999999999E-2</c:v>
                </c:pt>
                <c:pt idx="5">
                  <c:v>1.4999999999999999E-2</c:v>
                </c:pt>
                <c:pt idx="6">
                  <c:v>1.7000000000000001E-2</c:v>
                </c:pt>
                <c:pt idx="7">
                  <c:v>1.9E-2</c:v>
                </c:pt>
                <c:pt idx="8">
                  <c:v>2.1000000000000001E-2</c:v>
                </c:pt>
                <c:pt idx="9">
                  <c:v>2.3E-2</c:v>
                </c:pt>
                <c:pt idx="10">
                  <c:v>2.5000000000000001E-2</c:v>
                </c:pt>
              </c:numCache>
            </c:numRef>
          </c:xVal>
          <c:yVal>
            <c:numRef>
              <c:f>Beregninger!$T$42:$AD$42</c:f>
              <c:numCache>
                <c:formatCode>0.00%</c:formatCode>
                <c:ptCount val="11"/>
                <c:pt idx="0">
                  <c:v>2.4873336729059004E-2</c:v>
                </c:pt>
                <c:pt idx="1">
                  <c:v>2.2837838542903999E-2</c:v>
                </c:pt>
                <c:pt idx="2">
                  <c:v>2.0810409725177559E-2</c:v>
                </c:pt>
                <c:pt idx="3">
                  <c:v>1.8791002386453259E-2</c:v>
                </c:pt>
                <c:pt idx="4">
                  <c:v>1.6779569015502593E-2</c:v>
                </c:pt>
                <c:pt idx="5">
                  <c:v>1.4776062475570617E-2</c:v>
                </c:pt>
                <c:pt idx="6">
                  <c:v>1.2780436000692452E-2</c:v>
                </c:pt>
                <c:pt idx="7">
                  <c:v>1.0792643192055085E-2</c:v>
                </c:pt>
                <c:pt idx="8">
                  <c:v>8.8126380144017968E-3</c:v>
                </c:pt>
                <c:pt idx="9">
                  <c:v>6.8403747924772329E-3</c:v>
                </c:pt>
                <c:pt idx="10">
                  <c:v>4.8758082075162079E-3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CE3-446B-8FFF-F9AC65FFD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94528"/>
        <c:axId val="42696064"/>
      </c:scatterChart>
      <c:valAx>
        <c:axId val="42694528"/>
        <c:scaling>
          <c:orientation val="minMax"/>
          <c:max val="2.5000000000000001E-2"/>
          <c:min val="5.0000000000000001E-3"/>
        </c:scaling>
        <c:delete val="0"/>
        <c:axPos val="b"/>
        <c:numFmt formatCode="0.00%" sourceLinked="1"/>
        <c:majorTickMark val="out"/>
        <c:minorTickMark val="none"/>
        <c:tickLblPos val="nextTo"/>
        <c:crossAx val="42696064"/>
        <c:crosses val="autoZero"/>
        <c:crossBetween val="midCat"/>
      </c:valAx>
      <c:valAx>
        <c:axId val="42696064"/>
        <c:scaling>
          <c:orientation val="minMax"/>
          <c:max val="0.05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2694528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Ændret</a:t>
            </a:r>
            <a:r>
              <a:rPr lang="da-DK" baseline="0"/>
              <a:t> krav til </a:t>
            </a:r>
            <a:r>
              <a:rPr lang="da-DK"/>
              <a:t>egenkapitalens forrentning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Beregninger!$P$50</c:f>
              <c:strCache>
                <c:ptCount val="1"/>
                <c:pt idx="0">
                  <c:v>Kalkulationsrente, brutto</c:v>
                </c:pt>
              </c:strCache>
            </c:strRef>
          </c:tx>
          <c:marker>
            <c:symbol val="none"/>
          </c:marker>
          <c:xVal>
            <c:numRef>
              <c:f>Beregninger!$T$47:$AD$47</c:f>
              <c:numCache>
                <c:formatCode>0.00%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Beregninger!$T$50:$AD$50</c:f>
              <c:numCache>
                <c:formatCode>0.00%</c:formatCode>
                <c:ptCount val="11"/>
                <c:pt idx="0">
                  <c:v>-2.40414058811486E-2</c:v>
                </c:pt>
                <c:pt idx="1">
                  <c:v>-1.15414058811486E-2</c:v>
                </c:pt>
                <c:pt idx="2">
                  <c:v>9.5859411885139997E-4</c:v>
                </c:pt>
                <c:pt idx="3">
                  <c:v>1.34585941188514E-2</c:v>
                </c:pt>
                <c:pt idx="4">
                  <c:v>2.5958594118851399E-2</c:v>
                </c:pt>
                <c:pt idx="5">
                  <c:v>3.84585941188514E-2</c:v>
                </c:pt>
                <c:pt idx="6">
                  <c:v>5.0958594118851397E-2</c:v>
                </c:pt>
                <c:pt idx="7">
                  <c:v>6.3458594118851394E-2</c:v>
                </c:pt>
                <c:pt idx="8">
                  <c:v>7.5958594118851405E-2</c:v>
                </c:pt>
                <c:pt idx="9">
                  <c:v>8.8458594118851402E-2</c:v>
                </c:pt>
                <c:pt idx="10">
                  <c:v>0.1009585941188514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7A-45B2-9F0C-901CFB50552A}"/>
            </c:ext>
          </c:extLst>
        </c:ser>
        <c:ser>
          <c:idx val="2"/>
          <c:order val="1"/>
          <c:tx>
            <c:strRef>
              <c:f>Beregninger!$P$52</c:f>
              <c:strCache>
                <c:ptCount val="1"/>
                <c:pt idx="0">
                  <c:v>Kalkulationsrente efter skat</c:v>
                </c:pt>
              </c:strCache>
            </c:strRef>
          </c:tx>
          <c:marker>
            <c:symbol val="none"/>
          </c:marker>
          <c:xVal>
            <c:numRef>
              <c:f>Beregninger!$T$47:$AD$47</c:f>
              <c:numCache>
                <c:formatCode>0.00%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Beregninger!$T$52:$AD$52</c:f>
              <c:numCache>
                <c:formatCode>0.00%</c:formatCode>
                <c:ptCount val="11"/>
                <c:pt idx="0">
                  <c:v>-2.5752194088670501E-2</c:v>
                </c:pt>
                <c:pt idx="1">
                  <c:v>-1.3252194088670502E-2</c:v>
                </c:pt>
                <c:pt idx="2">
                  <c:v>-7.5219408867050223E-4</c:v>
                </c:pt>
                <c:pt idx="3">
                  <c:v>1.1747805911329498E-2</c:v>
                </c:pt>
                <c:pt idx="4">
                  <c:v>2.4247805911329499E-2</c:v>
                </c:pt>
                <c:pt idx="5">
                  <c:v>3.6747805911329499E-2</c:v>
                </c:pt>
                <c:pt idx="6">
                  <c:v>4.9247805911329497E-2</c:v>
                </c:pt>
                <c:pt idx="7">
                  <c:v>6.1747805911329494E-2</c:v>
                </c:pt>
                <c:pt idx="8">
                  <c:v>7.4247805911329498E-2</c:v>
                </c:pt>
                <c:pt idx="9">
                  <c:v>8.6747805911329495E-2</c:v>
                </c:pt>
                <c:pt idx="10">
                  <c:v>9.9247805911329492E-2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87A-45B2-9F0C-901CFB50552A}"/>
            </c:ext>
          </c:extLst>
        </c:ser>
        <c:ser>
          <c:idx val="3"/>
          <c:order val="2"/>
          <c:tx>
            <c:strRef>
              <c:f>Beregninger!$P$54</c:f>
              <c:strCache>
                <c:ptCount val="1"/>
                <c:pt idx="0">
                  <c:v>Kalkulationsrente efter skat og inflation</c:v>
                </c:pt>
              </c:strCache>
            </c:strRef>
          </c:tx>
          <c:marker>
            <c:symbol val="none"/>
          </c:marker>
          <c:xVal>
            <c:numRef>
              <c:f>Beregninger!$T$47:$AD$47</c:f>
              <c:numCache>
                <c:formatCode>0.00%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Beregninger!$T$54:$AD$54</c:f>
              <c:numCache>
                <c:formatCode>0.00%</c:formatCode>
                <c:ptCount val="11"/>
                <c:pt idx="0">
                  <c:v>-4.0149944914946167E-2</c:v>
                </c:pt>
                <c:pt idx="1">
                  <c:v>-2.7834673978985647E-2</c:v>
                </c:pt>
                <c:pt idx="2">
                  <c:v>-1.5519403043025126E-2</c:v>
                </c:pt>
                <c:pt idx="3">
                  <c:v>-3.2041321070644946E-3</c:v>
                </c:pt>
                <c:pt idx="4">
                  <c:v>9.111138828896248E-3</c:v>
                </c:pt>
                <c:pt idx="5">
                  <c:v>2.142640976485688E-2</c:v>
                </c:pt>
                <c:pt idx="6">
                  <c:v>3.3741680700817289E-2</c:v>
                </c:pt>
                <c:pt idx="7">
                  <c:v>4.6056951636777921E-2</c:v>
                </c:pt>
                <c:pt idx="8">
                  <c:v>5.837222257273833E-2</c:v>
                </c:pt>
                <c:pt idx="9">
                  <c:v>7.0687493508699184E-2</c:v>
                </c:pt>
                <c:pt idx="10">
                  <c:v>8.3002764444659816E-2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87A-45B2-9F0C-901CFB505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06400"/>
        <c:axId val="45608320"/>
      </c:scatterChart>
      <c:valAx>
        <c:axId val="45606400"/>
        <c:scaling>
          <c:orientation val="minMax"/>
          <c:max val="0.05"/>
          <c:min val="-0.0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Ændring EK forrentning</a:t>
                </a:r>
                <a:r>
                  <a:rPr lang="da-DK" baseline="0"/>
                  <a:t> </a:t>
                </a:r>
                <a:r>
                  <a:rPr lang="da-DK"/>
                  <a:t>i procentpoint</a:t>
                </a:r>
              </a:p>
            </c:rich>
          </c:tx>
          <c:layout>
            <c:manualLayout>
              <c:xMode val="edge"/>
              <c:yMode val="edge"/>
              <c:x val="0.71893959337172397"/>
              <c:y val="0.66802108263149196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45608320"/>
        <c:crossesAt val="0"/>
        <c:crossBetween val="midCat"/>
      </c:valAx>
      <c:valAx>
        <c:axId val="45608320"/>
        <c:scaling>
          <c:orientation val="minMax"/>
          <c:max val="0.1"/>
          <c:min val="-0.05"/>
        </c:scaling>
        <c:delete val="0"/>
        <c:axPos val="l"/>
        <c:numFmt formatCode="0.00%" sourceLinked="1"/>
        <c:majorTickMark val="out"/>
        <c:minorTickMark val="none"/>
        <c:tickLblPos val="nextTo"/>
        <c:crossAx val="4560640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Bidragssatsens</a:t>
            </a:r>
            <a:r>
              <a:rPr lang="da-DK" baseline="0"/>
              <a:t> indflydelse på kalkulationsrenten</a:t>
            </a:r>
            <a:endParaRPr lang="da-DK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Beregninger!$P$63</c:f>
              <c:strCache>
                <c:ptCount val="1"/>
                <c:pt idx="0">
                  <c:v>Kalkulationsrente, brutto</c:v>
                </c:pt>
              </c:strCache>
            </c:strRef>
          </c:tx>
          <c:marker>
            <c:symbol val="none"/>
          </c:marker>
          <c:xVal>
            <c:numRef>
              <c:f>Beregninger!$T$60:$AD$60</c:f>
              <c:numCache>
                <c:formatCode>0.00%</c:formatCode>
                <c:ptCount val="11"/>
                <c:pt idx="0">
                  <c:v>-5.0000000000000001E-3</c:v>
                </c:pt>
                <c:pt idx="1">
                  <c:v>-4.0000000000000001E-3</c:v>
                </c:pt>
                <c:pt idx="2">
                  <c:v>-3.0000000000000001E-3</c:v>
                </c:pt>
                <c:pt idx="3">
                  <c:v>-2E-3</c:v>
                </c:pt>
                <c:pt idx="4">
                  <c:v>-1E-3</c:v>
                </c:pt>
                <c:pt idx="5">
                  <c:v>0</c:v>
                </c:pt>
                <c:pt idx="6">
                  <c:v>1E-3</c:v>
                </c:pt>
                <c:pt idx="7">
                  <c:v>2E-3</c:v>
                </c:pt>
                <c:pt idx="8">
                  <c:v>3.0000000000000001E-3</c:v>
                </c:pt>
                <c:pt idx="9">
                  <c:v>4.0000000000000001E-3</c:v>
                </c:pt>
                <c:pt idx="10">
                  <c:v>5.0000000000000001E-3</c:v>
                </c:pt>
              </c:numCache>
            </c:numRef>
          </c:xVal>
          <c:yVal>
            <c:numRef>
              <c:f>Beregninger!$T$63:$AD$63</c:f>
              <c:numCache>
                <c:formatCode>0.00%</c:formatCode>
                <c:ptCount val="11"/>
                <c:pt idx="0">
                  <c:v>2.72085941188514E-2</c:v>
                </c:pt>
                <c:pt idx="1">
                  <c:v>2.9458594118851399E-2</c:v>
                </c:pt>
                <c:pt idx="2">
                  <c:v>3.1708594118851401E-2</c:v>
                </c:pt>
                <c:pt idx="3">
                  <c:v>3.3958594118851403E-2</c:v>
                </c:pt>
                <c:pt idx="4">
                  <c:v>3.6208594118851398E-2</c:v>
                </c:pt>
                <c:pt idx="5">
                  <c:v>3.84585941188514E-2</c:v>
                </c:pt>
                <c:pt idx="6">
                  <c:v>4.0708594118851402E-2</c:v>
                </c:pt>
                <c:pt idx="7">
                  <c:v>4.2958594118851397E-2</c:v>
                </c:pt>
                <c:pt idx="8">
                  <c:v>4.5208594118851399E-2</c:v>
                </c:pt>
                <c:pt idx="9">
                  <c:v>4.7458594118851401E-2</c:v>
                </c:pt>
                <c:pt idx="10">
                  <c:v>4.9708594118851403E-2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F2B-4DC2-AF1F-48F610990298}"/>
            </c:ext>
          </c:extLst>
        </c:ser>
        <c:ser>
          <c:idx val="2"/>
          <c:order val="1"/>
          <c:tx>
            <c:strRef>
              <c:f>Beregninger!$P$65</c:f>
              <c:strCache>
                <c:ptCount val="1"/>
                <c:pt idx="0">
                  <c:v>Kalkulationsrente efter skat</c:v>
                </c:pt>
              </c:strCache>
            </c:strRef>
          </c:tx>
          <c:marker>
            <c:symbol val="none"/>
          </c:marker>
          <c:xVal>
            <c:numRef>
              <c:f>Beregninger!$T$60:$AD$60</c:f>
              <c:numCache>
                <c:formatCode>0.00%</c:formatCode>
                <c:ptCount val="11"/>
                <c:pt idx="0">
                  <c:v>-5.0000000000000001E-3</c:v>
                </c:pt>
                <c:pt idx="1">
                  <c:v>-4.0000000000000001E-3</c:v>
                </c:pt>
                <c:pt idx="2">
                  <c:v>-3.0000000000000001E-3</c:v>
                </c:pt>
                <c:pt idx="3">
                  <c:v>-2E-3</c:v>
                </c:pt>
                <c:pt idx="4">
                  <c:v>-1E-3</c:v>
                </c:pt>
                <c:pt idx="5">
                  <c:v>0</c:v>
                </c:pt>
                <c:pt idx="6">
                  <c:v>1E-3</c:v>
                </c:pt>
                <c:pt idx="7">
                  <c:v>2E-3</c:v>
                </c:pt>
                <c:pt idx="8">
                  <c:v>3.0000000000000001E-3</c:v>
                </c:pt>
                <c:pt idx="9">
                  <c:v>4.0000000000000001E-3</c:v>
                </c:pt>
                <c:pt idx="10">
                  <c:v>5.0000000000000001E-3</c:v>
                </c:pt>
              </c:numCache>
            </c:numRef>
          </c:xVal>
          <c:yVal>
            <c:numRef>
              <c:f>Beregninger!$T$65:$AD$65</c:f>
              <c:numCache>
                <c:formatCode>0.00%</c:formatCode>
                <c:ptCount val="11"/>
                <c:pt idx="0">
                  <c:v>2.7972805911329498E-2</c:v>
                </c:pt>
                <c:pt idx="1">
                  <c:v>2.9727805911329497E-2</c:v>
                </c:pt>
                <c:pt idx="2">
                  <c:v>3.1482805911329501E-2</c:v>
                </c:pt>
                <c:pt idx="3">
                  <c:v>3.32378059113295E-2</c:v>
                </c:pt>
                <c:pt idx="4">
                  <c:v>3.49928059113295E-2</c:v>
                </c:pt>
                <c:pt idx="5">
                  <c:v>3.6747805911329499E-2</c:v>
                </c:pt>
                <c:pt idx="6">
                  <c:v>3.8502805911329499E-2</c:v>
                </c:pt>
                <c:pt idx="7">
                  <c:v>4.0257805911329499E-2</c:v>
                </c:pt>
                <c:pt idx="8">
                  <c:v>4.2012805911329498E-2</c:v>
                </c:pt>
                <c:pt idx="9">
                  <c:v>4.3767805911329498E-2</c:v>
                </c:pt>
                <c:pt idx="10">
                  <c:v>4.5522805911329497E-2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F2B-4DC2-AF1F-48F610990298}"/>
            </c:ext>
          </c:extLst>
        </c:ser>
        <c:ser>
          <c:idx val="3"/>
          <c:order val="2"/>
          <c:tx>
            <c:strRef>
              <c:f>Beregninger!$P$67</c:f>
              <c:strCache>
                <c:ptCount val="1"/>
                <c:pt idx="0">
                  <c:v>Kalkulationsrente efter skat og inflation</c:v>
                </c:pt>
              </c:strCache>
            </c:strRef>
          </c:tx>
          <c:marker>
            <c:symbol val="none"/>
          </c:marker>
          <c:xVal>
            <c:numRef>
              <c:f>Beregninger!$T$60:$AD$60</c:f>
              <c:numCache>
                <c:formatCode>0.00%</c:formatCode>
                <c:ptCount val="11"/>
                <c:pt idx="0">
                  <c:v>-5.0000000000000001E-3</c:v>
                </c:pt>
                <c:pt idx="1">
                  <c:v>-4.0000000000000001E-3</c:v>
                </c:pt>
                <c:pt idx="2">
                  <c:v>-3.0000000000000001E-3</c:v>
                </c:pt>
                <c:pt idx="3">
                  <c:v>-2E-3</c:v>
                </c:pt>
                <c:pt idx="4">
                  <c:v>-1E-3</c:v>
                </c:pt>
                <c:pt idx="5">
                  <c:v>0</c:v>
                </c:pt>
                <c:pt idx="6">
                  <c:v>1E-3</c:v>
                </c:pt>
                <c:pt idx="7">
                  <c:v>2E-3</c:v>
                </c:pt>
                <c:pt idx="8">
                  <c:v>3.0000000000000001E-3</c:v>
                </c:pt>
                <c:pt idx="9">
                  <c:v>4.0000000000000001E-3</c:v>
                </c:pt>
                <c:pt idx="10">
                  <c:v>5.0000000000000001E-3</c:v>
                </c:pt>
              </c:numCache>
            </c:numRef>
          </c:xVal>
          <c:yVal>
            <c:numRef>
              <c:f>Beregninger!$T$67:$AD$67</c:f>
              <c:numCache>
                <c:formatCode>0.00%</c:formatCode>
                <c:ptCount val="11"/>
                <c:pt idx="0">
                  <c:v>1.2781089567812431E-2</c:v>
                </c:pt>
                <c:pt idx="1">
                  <c:v>1.4510153607221188E-2</c:v>
                </c:pt>
                <c:pt idx="2">
                  <c:v>1.6239217646630166E-2</c:v>
                </c:pt>
                <c:pt idx="3">
                  <c:v>1.7968281686038923E-2</c:v>
                </c:pt>
                <c:pt idx="4">
                  <c:v>1.9697345725447901E-2</c:v>
                </c:pt>
                <c:pt idx="5">
                  <c:v>2.142640976485688E-2</c:v>
                </c:pt>
                <c:pt idx="6">
                  <c:v>2.3155473804265636E-2</c:v>
                </c:pt>
                <c:pt idx="7">
                  <c:v>2.4884537843674392E-2</c:v>
                </c:pt>
                <c:pt idx="8">
                  <c:v>2.6613601883083149E-2</c:v>
                </c:pt>
                <c:pt idx="9">
                  <c:v>2.8342665922492349E-2</c:v>
                </c:pt>
                <c:pt idx="10">
                  <c:v>3.0071729961901106E-2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F2B-4DC2-AF1F-48F610990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35744"/>
        <c:axId val="50742016"/>
      </c:scatterChart>
      <c:valAx>
        <c:axId val="50735744"/>
        <c:scaling>
          <c:orientation val="minMax"/>
          <c:max val="5.0000000000000001E-3"/>
          <c:min val="-5.0000000000000001E-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Ændring i bidragssats i procentpoint</a:t>
                </a:r>
              </a:p>
            </c:rich>
          </c:tx>
          <c:layout>
            <c:manualLayout>
              <c:xMode val="edge"/>
              <c:yMode val="edge"/>
              <c:x val="0.72671250353994998"/>
              <c:y val="0.83358185938923801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0742016"/>
        <c:crosses val="autoZero"/>
        <c:crossBetween val="midCat"/>
      </c:valAx>
      <c:valAx>
        <c:axId val="5074201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0735744"/>
        <c:crosses val="autoZero"/>
        <c:crossBetween val="midCat"/>
        <c:majorUnit val="0.01"/>
        <c:minorUnit val="2E-3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Bankrentens indflydelse</a:t>
            </a:r>
            <a:r>
              <a:rPr lang="da-DK" baseline="0"/>
              <a:t> på kalkulationsrenten</a:t>
            </a:r>
            <a:endParaRPr lang="da-DK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Beregninger!$P$75</c:f>
              <c:strCache>
                <c:ptCount val="1"/>
                <c:pt idx="0">
                  <c:v>Kalkulationsrente, brutto</c:v>
                </c:pt>
              </c:strCache>
            </c:strRef>
          </c:tx>
          <c:marker>
            <c:symbol val="none"/>
          </c:marker>
          <c:xVal>
            <c:numRef>
              <c:f>Beregninger!$T$73:$AD$73</c:f>
              <c:numCache>
                <c:formatCode>General</c:formatCode>
                <c:ptCount val="11"/>
                <c:pt idx="0">
                  <c:v>-5000</c:v>
                </c:pt>
                <c:pt idx="1">
                  <c:v>-3750</c:v>
                </c:pt>
                <c:pt idx="2">
                  <c:v>-2500</c:v>
                </c:pt>
                <c:pt idx="3">
                  <c:v>-1250</c:v>
                </c:pt>
                <c:pt idx="4">
                  <c:v>0</c:v>
                </c:pt>
                <c:pt idx="5">
                  <c:v>1250</c:v>
                </c:pt>
                <c:pt idx="6">
                  <c:v>2500</c:v>
                </c:pt>
                <c:pt idx="7">
                  <c:v>3750</c:v>
                </c:pt>
                <c:pt idx="8">
                  <c:v>5000</c:v>
                </c:pt>
                <c:pt idx="9">
                  <c:v>6250</c:v>
                </c:pt>
                <c:pt idx="10">
                  <c:v>7500</c:v>
                </c:pt>
              </c:numCache>
            </c:numRef>
          </c:xVal>
          <c:yVal>
            <c:numRef>
              <c:f>Beregninger!$T$75:$AD$75</c:f>
              <c:numCache>
                <c:formatCode>0.00%</c:formatCode>
                <c:ptCount val="11"/>
                <c:pt idx="0">
                  <c:v>3.7958594118851399E-2</c:v>
                </c:pt>
                <c:pt idx="1">
                  <c:v>3.8083594118851399E-2</c:v>
                </c:pt>
                <c:pt idx="2">
                  <c:v>3.8208594118851399E-2</c:v>
                </c:pt>
                <c:pt idx="3">
                  <c:v>3.83335941188514E-2</c:v>
                </c:pt>
                <c:pt idx="4">
                  <c:v>3.84585941188514E-2</c:v>
                </c:pt>
                <c:pt idx="5">
                  <c:v>3.85835941188514E-2</c:v>
                </c:pt>
                <c:pt idx="6">
                  <c:v>3.87085941188514E-2</c:v>
                </c:pt>
                <c:pt idx="7">
                  <c:v>3.88335941188514E-2</c:v>
                </c:pt>
                <c:pt idx="8">
                  <c:v>3.89585941188514E-2</c:v>
                </c:pt>
                <c:pt idx="9">
                  <c:v>3.90835941188514E-2</c:v>
                </c:pt>
                <c:pt idx="10">
                  <c:v>3.92085941188514E-2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A8-4149-AF24-DB20D8EBCB4D}"/>
            </c:ext>
          </c:extLst>
        </c:ser>
        <c:ser>
          <c:idx val="2"/>
          <c:order val="1"/>
          <c:tx>
            <c:strRef>
              <c:f>Beregninger!$P$77</c:f>
              <c:strCache>
                <c:ptCount val="1"/>
                <c:pt idx="0">
                  <c:v>Kalkulationsrente efter skat</c:v>
                </c:pt>
              </c:strCache>
            </c:strRef>
          </c:tx>
          <c:marker>
            <c:symbol val="none"/>
          </c:marker>
          <c:xVal>
            <c:numRef>
              <c:f>Beregninger!$T$73:$AD$73</c:f>
              <c:numCache>
                <c:formatCode>General</c:formatCode>
                <c:ptCount val="11"/>
                <c:pt idx="0">
                  <c:v>-5000</c:v>
                </c:pt>
                <c:pt idx="1">
                  <c:v>-3750</c:v>
                </c:pt>
                <c:pt idx="2">
                  <c:v>-2500</c:v>
                </c:pt>
                <c:pt idx="3">
                  <c:v>-1250</c:v>
                </c:pt>
                <c:pt idx="4">
                  <c:v>0</c:v>
                </c:pt>
                <c:pt idx="5">
                  <c:v>1250</c:v>
                </c:pt>
                <c:pt idx="6">
                  <c:v>2500</c:v>
                </c:pt>
                <c:pt idx="7">
                  <c:v>3750</c:v>
                </c:pt>
                <c:pt idx="8">
                  <c:v>5000</c:v>
                </c:pt>
                <c:pt idx="9">
                  <c:v>6250</c:v>
                </c:pt>
                <c:pt idx="10">
                  <c:v>7500</c:v>
                </c:pt>
              </c:numCache>
            </c:numRef>
          </c:xVal>
          <c:yVal>
            <c:numRef>
              <c:f>Beregninger!$T$77:$AD$77</c:f>
              <c:numCache>
                <c:formatCode>0.00%</c:formatCode>
                <c:ptCount val="11"/>
                <c:pt idx="0">
                  <c:v>3.6357805911329498E-2</c:v>
                </c:pt>
                <c:pt idx="1">
                  <c:v>3.6455305911329498E-2</c:v>
                </c:pt>
                <c:pt idx="2">
                  <c:v>3.6552805911329499E-2</c:v>
                </c:pt>
                <c:pt idx="3">
                  <c:v>3.6650305911329499E-2</c:v>
                </c:pt>
                <c:pt idx="4">
                  <c:v>3.6747805911329499E-2</c:v>
                </c:pt>
                <c:pt idx="5">
                  <c:v>3.68453059113295E-2</c:v>
                </c:pt>
                <c:pt idx="6">
                  <c:v>3.69428059113295E-2</c:v>
                </c:pt>
                <c:pt idx="7">
                  <c:v>3.7040305911329501E-2</c:v>
                </c:pt>
                <c:pt idx="8">
                  <c:v>3.7137805911329501E-2</c:v>
                </c:pt>
                <c:pt idx="9">
                  <c:v>3.7235305911329501E-2</c:v>
                </c:pt>
                <c:pt idx="10">
                  <c:v>3.7332805911329502E-2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A8-4149-AF24-DB20D8EBCB4D}"/>
            </c:ext>
          </c:extLst>
        </c:ser>
        <c:ser>
          <c:idx val="3"/>
          <c:order val="2"/>
          <c:tx>
            <c:strRef>
              <c:f>Beregninger!$P$79</c:f>
              <c:strCache>
                <c:ptCount val="1"/>
                <c:pt idx="0">
                  <c:v>Kalkulationsrente efter skat og inflation</c:v>
                </c:pt>
              </c:strCache>
            </c:strRef>
          </c:tx>
          <c:marker>
            <c:symbol val="none"/>
          </c:marker>
          <c:xVal>
            <c:numRef>
              <c:f>Beregninger!$T$73:$AD$73</c:f>
              <c:numCache>
                <c:formatCode>General</c:formatCode>
                <c:ptCount val="11"/>
                <c:pt idx="0">
                  <c:v>-5000</c:v>
                </c:pt>
                <c:pt idx="1">
                  <c:v>-3750</c:v>
                </c:pt>
                <c:pt idx="2">
                  <c:v>-2500</c:v>
                </c:pt>
                <c:pt idx="3">
                  <c:v>-1250</c:v>
                </c:pt>
                <c:pt idx="4">
                  <c:v>0</c:v>
                </c:pt>
                <c:pt idx="5">
                  <c:v>1250</c:v>
                </c:pt>
                <c:pt idx="6">
                  <c:v>2500</c:v>
                </c:pt>
                <c:pt idx="7">
                  <c:v>3750</c:v>
                </c:pt>
                <c:pt idx="8">
                  <c:v>5000</c:v>
                </c:pt>
                <c:pt idx="9">
                  <c:v>6250</c:v>
                </c:pt>
                <c:pt idx="10">
                  <c:v>7500</c:v>
                </c:pt>
              </c:numCache>
            </c:numRef>
          </c:xVal>
          <c:yVal>
            <c:numRef>
              <c:f>Beregninger!$T$79:$AD$79</c:f>
              <c:numCache>
                <c:formatCode>0.00%</c:formatCode>
                <c:ptCount val="11"/>
                <c:pt idx="0">
                  <c:v>2.104217331165481E-2</c:v>
                </c:pt>
                <c:pt idx="1">
                  <c:v>2.1138232424955383E-2</c:v>
                </c:pt>
                <c:pt idx="2">
                  <c:v>2.1234291538255956E-2</c:v>
                </c:pt>
                <c:pt idx="3">
                  <c:v>2.1330350651556307E-2</c:v>
                </c:pt>
                <c:pt idx="4">
                  <c:v>2.142640976485688E-2</c:v>
                </c:pt>
                <c:pt idx="5">
                  <c:v>2.152246887815723E-2</c:v>
                </c:pt>
                <c:pt idx="6">
                  <c:v>2.1618527991457803E-2</c:v>
                </c:pt>
                <c:pt idx="7">
                  <c:v>2.1714587104758376E-2</c:v>
                </c:pt>
                <c:pt idx="8">
                  <c:v>2.1810646218058727E-2</c:v>
                </c:pt>
                <c:pt idx="9">
                  <c:v>2.19067053313593E-2</c:v>
                </c:pt>
                <c:pt idx="10">
                  <c:v>2.2002764444659872E-2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2A8-4149-AF24-DB20D8EBC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76704"/>
        <c:axId val="50787072"/>
      </c:scatterChart>
      <c:valAx>
        <c:axId val="50776704"/>
        <c:scaling>
          <c:orientation val="minMax"/>
          <c:max val="1.4999999999999999E-2"/>
          <c:min val="-0.0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Ændring i procentpoint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787072"/>
        <c:crosses val="autoZero"/>
        <c:crossBetween val="midCat"/>
      </c:valAx>
      <c:valAx>
        <c:axId val="50787072"/>
        <c:scaling>
          <c:orientation val="minMax"/>
          <c:max val="0.05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077670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Skatteevnens</a:t>
            </a:r>
            <a:r>
              <a:rPr lang="da-DK" baseline="0"/>
              <a:t> effekt på kalkulationsrenten</a:t>
            </a:r>
            <a:endParaRPr lang="da-DK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Beregninger!$P$27</c:f>
              <c:strCache>
                <c:ptCount val="1"/>
                <c:pt idx="0">
                  <c:v>Kalkulationsrente, brutto</c:v>
                </c:pt>
              </c:strCache>
            </c:strRef>
          </c:tx>
          <c:invertIfNegative val="0"/>
          <c:cat>
            <c:numRef>
              <c:f>Beregninger!$T$20:$W$20</c:f>
              <c:numCache>
                <c:formatCode>0%</c:formatCode>
                <c:ptCount val="4"/>
                <c:pt idx="0">
                  <c:v>0</c:v>
                </c:pt>
                <c:pt idx="1">
                  <c:v>0.22</c:v>
                </c:pt>
                <c:pt idx="2">
                  <c:v>0.4</c:v>
                </c:pt>
                <c:pt idx="3">
                  <c:v>0.56000000000000005</c:v>
                </c:pt>
              </c:numCache>
            </c:numRef>
          </c:cat>
          <c:val>
            <c:numRef>
              <c:f>Beregninger!$T$27:$W$27</c:f>
              <c:numCache>
                <c:formatCode>0.00%</c:formatCode>
                <c:ptCount val="4"/>
                <c:pt idx="0">
                  <c:v>3.84585941188514E-2</c:v>
                </c:pt>
                <c:pt idx="1">
                  <c:v>3.84585941188514E-2</c:v>
                </c:pt>
                <c:pt idx="2">
                  <c:v>3.84585941188514E-2</c:v>
                </c:pt>
                <c:pt idx="3">
                  <c:v>3.84585941188514E-2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2-465A-B11F-3011160DD9F8}"/>
            </c:ext>
          </c:extLst>
        </c:ser>
        <c:ser>
          <c:idx val="1"/>
          <c:order val="1"/>
          <c:tx>
            <c:strRef>
              <c:f>Beregninger!$P$29</c:f>
              <c:strCache>
                <c:ptCount val="1"/>
                <c:pt idx="0">
                  <c:v>Kalkulationsrente efter skat</c:v>
                </c:pt>
              </c:strCache>
            </c:strRef>
          </c:tx>
          <c:invertIfNegative val="0"/>
          <c:cat>
            <c:numRef>
              <c:f>Beregninger!$T$20:$W$20</c:f>
              <c:numCache>
                <c:formatCode>0%</c:formatCode>
                <c:ptCount val="4"/>
                <c:pt idx="0">
                  <c:v>0</c:v>
                </c:pt>
                <c:pt idx="1">
                  <c:v>0.22</c:v>
                </c:pt>
                <c:pt idx="2">
                  <c:v>0.4</c:v>
                </c:pt>
                <c:pt idx="3">
                  <c:v>0.56000000000000005</c:v>
                </c:pt>
              </c:numCache>
            </c:numRef>
          </c:cat>
          <c:val>
            <c:numRef>
              <c:f>Beregninger!$T$29:$W$29</c:f>
              <c:numCache>
                <c:formatCode>0.00%</c:formatCode>
                <c:ptCount val="4"/>
                <c:pt idx="0">
                  <c:v>3.84585941188514E-2</c:v>
                </c:pt>
                <c:pt idx="1">
                  <c:v>2.9997703412704101E-2</c:v>
                </c:pt>
                <c:pt idx="2">
                  <c:v>2.307515647131084E-2</c:v>
                </c:pt>
                <c:pt idx="3">
                  <c:v>1.6921781412294615E-2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E2-465A-B11F-3011160DD9F8}"/>
            </c:ext>
          </c:extLst>
        </c:ser>
        <c:ser>
          <c:idx val="2"/>
          <c:order val="2"/>
          <c:tx>
            <c:strRef>
              <c:f>Beregninger!$P$31</c:f>
              <c:strCache>
                <c:ptCount val="1"/>
                <c:pt idx="0">
                  <c:v>Kalkulationsrente efter skat og inflation</c:v>
                </c:pt>
              </c:strCache>
            </c:strRef>
          </c:tx>
          <c:invertIfNegative val="0"/>
          <c:cat>
            <c:numRef>
              <c:f>Beregninger!$T$20:$W$20</c:f>
              <c:numCache>
                <c:formatCode>0%</c:formatCode>
                <c:ptCount val="4"/>
                <c:pt idx="0">
                  <c:v>0</c:v>
                </c:pt>
                <c:pt idx="1">
                  <c:v>0.22</c:v>
                </c:pt>
                <c:pt idx="2">
                  <c:v>0.4</c:v>
                </c:pt>
                <c:pt idx="3">
                  <c:v>0.56000000000000005</c:v>
                </c:pt>
              </c:numCache>
            </c:numRef>
          </c:cat>
          <c:val>
            <c:numRef>
              <c:f>Beregninger!$T$31:$W$31</c:f>
              <c:numCache>
                <c:formatCode>0.00%</c:formatCode>
                <c:ptCount val="4"/>
                <c:pt idx="0">
                  <c:v>2.3111915388031035E-2</c:v>
                </c:pt>
                <c:pt idx="1">
                  <c:v>1.4776062475570617E-2</c:v>
                </c:pt>
                <c:pt idx="2">
                  <c:v>7.9558191835575887E-3</c:v>
                </c:pt>
                <c:pt idx="3">
                  <c:v>1.8933807017682547E-3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E2-465A-B11F-3011160DD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85824"/>
        <c:axId val="50687360"/>
      </c:barChart>
      <c:catAx>
        <c:axId val="5068582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50687360"/>
        <c:crosses val="autoZero"/>
        <c:auto val="1"/>
        <c:lblAlgn val="ctr"/>
        <c:lblOffset val="100"/>
        <c:noMultiLvlLbl val="0"/>
      </c:catAx>
      <c:valAx>
        <c:axId val="50687360"/>
        <c:scaling>
          <c:orientation val="minMax"/>
          <c:max val="0.05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0685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02405949256406E-2"/>
          <c:y val="5.1400554097404502E-2"/>
          <c:w val="0.86979960066865503"/>
          <c:h val="0.79736104865357105"/>
        </c:manualLayout>
      </c:layout>
      <c:scatterChart>
        <c:scatterStyle val="smoothMarker"/>
        <c:varyColors val="0"/>
        <c:ser>
          <c:idx val="0"/>
          <c:order val="0"/>
          <c:tx>
            <c:v>Dårlig likviditetsskabelse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Bidragssats!$G$11:$G$21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Bidragssats!$H$11:$H$21</c:f>
              <c:numCache>
                <c:formatCode>0.00</c:formatCode>
                <c:ptCount val="11"/>
                <c:pt idx="0">
                  <c:v>0.67999999999999994</c:v>
                </c:pt>
                <c:pt idx="1">
                  <c:v>0.74310255084538857</c:v>
                </c:pt>
                <c:pt idx="2">
                  <c:v>0.81284165489610183</c:v>
                </c:pt>
                <c:pt idx="3">
                  <c:v>0.88991528454560187</c:v>
                </c:pt>
                <c:pt idx="4">
                  <c:v>0.9750948185847621</c:v>
                </c:pt>
                <c:pt idx="5">
                  <c:v>1.0692327624200768</c:v>
                </c:pt>
                <c:pt idx="6">
                  <c:v>1.1732712802343053</c:v>
                </c:pt>
                <c:pt idx="7">
                  <c:v>1.2882516244822859</c:v>
                </c:pt>
                <c:pt idx="8">
                  <c:v>1.4153245570954807</c:v>
                </c:pt>
                <c:pt idx="9">
                  <c:v>1.5557618666941699</c:v>
                </c:pt>
                <c:pt idx="10">
                  <c:v>1.710969097075427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223-4BBA-A8DA-3886180ED410}"/>
            </c:ext>
          </c:extLst>
        </c:ser>
        <c:ser>
          <c:idx val="1"/>
          <c:order val="1"/>
          <c:tx>
            <c:v>Middel likviditetsskabelse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Bidragssats!$G$11:$G$21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Bidragssats!$I$11:$I$21</c:f>
              <c:numCache>
                <c:formatCode>0.00</c:formatCode>
                <c:ptCount val="11"/>
                <c:pt idx="0">
                  <c:v>0.64</c:v>
                </c:pt>
                <c:pt idx="1">
                  <c:v>0.66629272951891194</c:v>
                </c:pt>
                <c:pt idx="2">
                  <c:v>0.69535068954004253</c:v>
                </c:pt>
                <c:pt idx="3">
                  <c:v>0.72746470189400081</c:v>
                </c:pt>
                <c:pt idx="4">
                  <c:v>0.7629561744103176</c:v>
                </c:pt>
                <c:pt idx="5">
                  <c:v>0.80218031767503206</c:v>
                </c:pt>
                <c:pt idx="6">
                  <c:v>0.84552970009762718</c:v>
                </c:pt>
                <c:pt idx="7">
                  <c:v>0.89343817686761917</c:v>
                </c:pt>
                <c:pt idx="8">
                  <c:v>0.94638523212311698</c:v>
                </c:pt>
                <c:pt idx="9">
                  <c:v>1.0049007777892376</c:v>
                </c:pt>
                <c:pt idx="10">
                  <c:v>1.0695704571147613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223-4BBA-A8DA-3886180ED410}"/>
            </c:ext>
          </c:extLst>
        </c:ser>
        <c:ser>
          <c:idx val="2"/>
          <c:order val="2"/>
          <c:tx>
            <c:v>God likviditetsskabelse</c:v>
          </c:tx>
          <c:marker>
            <c:symbol val="none"/>
          </c:marker>
          <c:xVal>
            <c:numRef>
              <c:f>Bidragssats!$G$11:$G$21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Bidragssats!$J$11:$J$21</c:f>
              <c:numCache>
                <c:formatCode>0.00</c:formatCode>
                <c:ptCount val="11"/>
                <c:pt idx="0">
                  <c:v>0.60000000000000009</c:v>
                </c:pt>
                <c:pt idx="1">
                  <c:v>0.62103418361512963</c:v>
                </c:pt>
                <c:pt idx="2">
                  <c:v>0.64428055163203402</c:v>
                </c:pt>
                <c:pt idx="3">
                  <c:v>0.66997176151520066</c:v>
                </c:pt>
                <c:pt idx="4">
                  <c:v>0.69836493952825407</c:v>
                </c:pt>
                <c:pt idx="5">
                  <c:v>0.72974425414002564</c:v>
                </c:pt>
                <c:pt idx="6">
                  <c:v>0.76442376007810187</c:v>
                </c:pt>
                <c:pt idx="7">
                  <c:v>0.80275054149409542</c:v>
                </c:pt>
                <c:pt idx="8">
                  <c:v>0.84510818569849366</c:v>
                </c:pt>
                <c:pt idx="9">
                  <c:v>0.89192062223139001</c:v>
                </c:pt>
                <c:pt idx="10">
                  <c:v>0.94365636569180911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223-4BBA-A8DA-3886180ED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13408"/>
        <c:axId val="50515328"/>
      </c:scatterChart>
      <c:valAx>
        <c:axId val="50513408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Gældsprocent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50515328"/>
        <c:crosses val="autoZero"/>
        <c:crossBetween val="midCat"/>
      </c:valAx>
      <c:valAx>
        <c:axId val="505153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50513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2757263815073805"/>
          <c:y val="0.579300865033057"/>
          <c:w val="0.33604308836395502"/>
          <c:h val="0.2742997229512980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02405949256406E-2"/>
          <c:y val="5.1400554097404502E-2"/>
          <c:w val="0.86729483814523201"/>
          <c:h val="0.83261956838728501"/>
        </c:manualLayout>
      </c:layout>
      <c:scatterChart>
        <c:scatterStyle val="smoothMarker"/>
        <c:varyColors val="0"/>
        <c:ser>
          <c:idx val="0"/>
          <c:order val="0"/>
          <c:tx>
            <c:v>Dårlig indtjening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Bidragssats!$G$11:$G$21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Bidragssats!$H$11:$H$21</c:f>
              <c:numCache>
                <c:formatCode>0.00</c:formatCode>
                <c:ptCount val="11"/>
                <c:pt idx="0">
                  <c:v>0.67999999999999994</c:v>
                </c:pt>
                <c:pt idx="1">
                  <c:v>0.74310255084538857</c:v>
                </c:pt>
                <c:pt idx="2">
                  <c:v>0.81284165489610183</c:v>
                </c:pt>
                <c:pt idx="3">
                  <c:v>0.88991528454560187</c:v>
                </c:pt>
                <c:pt idx="4">
                  <c:v>0.9750948185847621</c:v>
                </c:pt>
                <c:pt idx="5">
                  <c:v>1.0692327624200768</c:v>
                </c:pt>
                <c:pt idx="6">
                  <c:v>1.1732712802343053</c:v>
                </c:pt>
                <c:pt idx="7">
                  <c:v>1.2882516244822859</c:v>
                </c:pt>
                <c:pt idx="8">
                  <c:v>1.4153245570954807</c:v>
                </c:pt>
                <c:pt idx="9">
                  <c:v>1.5557618666941699</c:v>
                </c:pt>
                <c:pt idx="10">
                  <c:v>1.710969097075427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0B2-4E9E-8A81-F813621A24DD}"/>
            </c:ext>
          </c:extLst>
        </c:ser>
        <c:ser>
          <c:idx val="1"/>
          <c:order val="1"/>
          <c:tx>
            <c:v>Moderat indtjening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Bidragssats!$G$11:$G$21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Bidragssats!$I$11:$I$21</c:f>
              <c:numCache>
                <c:formatCode>0.00</c:formatCode>
                <c:ptCount val="11"/>
                <c:pt idx="0">
                  <c:v>0.64</c:v>
                </c:pt>
                <c:pt idx="1">
                  <c:v>0.66629272951891194</c:v>
                </c:pt>
                <c:pt idx="2">
                  <c:v>0.69535068954004253</c:v>
                </c:pt>
                <c:pt idx="3">
                  <c:v>0.72746470189400081</c:v>
                </c:pt>
                <c:pt idx="4">
                  <c:v>0.7629561744103176</c:v>
                </c:pt>
                <c:pt idx="5">
                  <c:v>0.80218031767503206</c:v>
                </c:pt>
                <c:pt idx="6">
                  <c:v>0.84552970009762718</c:v>
                </c:pt>
                <c:pt idx="7">
                  <c:v>0.89343817686761917</c:v>
                </c:pt>
                <c:pt idx="8">
                  <c:v>0.94638523212311698</c:v>
                </c:pt>
                <c:pt idx="9">
                  <c:v>1.0049007777892376</c:v>
                </c:pt>
                <c:pt idx="10">
                  <c:v>1.0695704571147613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0B2-4E9E-8A81-F813621A24DD}"/>
            </c:ext>
          </c:extLst>
        </c:ser>
        <c:ser>
          <c:idx val="2"/>
          <c:order val="2"/>
          <c:tx>
            <c:v>God indtjening</c:v>
          </c:tx>
          <c:marker>
            <c:symbol val="none"/>
          </c:marker>
          <c:xVal>
            <c:numRef>
              <c:f>Bidragssats!$G$11:$G$21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Bidragssats!$J$11:$J$21</c:f>
              <c:numCache>
                <c:formatCode>0.00</c:formatCode>
                <c:ptCount val="11"/>
                <c:pt idx="0">
                  <c:v>0.60000000000000009</c:v>
                </c:pt>
                <c:pt idx="1">
                  <c:v>0.62103418361512963</c:v>
                </c:pt>
                <c:pt idx="2">
                  <c:v>0.64428055163203402</c:v>
                </c:pt>
                <c:pt idx="3">
                  <c:v>0.66997176151520066</c:v>
                </c:pt>
                <c:pt idx="4">
                  <c:v>0.69836493952825407</c:v>
                </c:pt>
                <c:pt idx="5">
                  <c:v>0.72974425414002564</c:v>
                </c:pt>
                <c:pt idx="6">
                  <c:v>0.76442376007810187</c:v>
                </c:pt>
                <c:pt idx="7">
                  <c:v>0.80275054149409542</c:v>
                </c:pt>
                <c:pt idx="8">
                  <c:v>0.84510818569849366</c:v>
                </c:pt>
                <c:pt idx="9">
                  <c:v>0.89192062223139001</c:v>
                </c:pt>
                <c:pt idx="10">
                  <c:v>0.94365636569180911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0B2-4E9E-8A81-F813621A2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84960"/>
        <c:axId val="50586752"/>
      </c:scatterChart>
      <c:scatterChart>
        <c:scatterStyle val="lineMarker"/>
        <c:varyColors val="0"/>
        <c:ser>
          <c:idx val="3"/>
          <c:order val="3"/>
          <c:tx>
            <c:v>Dårlig indtjening**</c:v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xVal>
            <c:numRef>
              <c:f>Bidragssats!$G$26:$G$36</c:f>
              <c:numCache>
                <c:formatCode>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Bidragssats!$H$26:$H$36</c:f>
              <c:numCache>
                <c:formatCode>General</c:formatCode>
                <c:ptCount val="11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1.05</c:v>
                </c:pt>
                <c:pt idx="5">
                  <c:v>1.05</c:v>
                </c:pt>
                <c:pt idx="6">
                  <c:v>1.05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B2-4E9E-8A81-F813621A24DD}"/>
            </c:ext>
          </c:extLst>
        </c:ser>
        <c:ser>
          <c:idx val="4"/>
          <c:order val="4"/>
          <c:tx>
            <c:v>Moderat indtjening**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none"/>
          </c:marker>
          <c:xVal>
            <c:numRef>
              <c:f>Bidragssats!$G$26:$G$36</c:f>
              <c:numCache>
                <c:formatCode>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Bidragssats!$I$26:$I$36</c:f>
              <c:numCache>
                <c:formatCode>General</c:formatCode>
                <c:ptCount val="11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0.95000000000000007</c:v>
                </c:pt>
                <c:pt idx="8">
                  <c:v>0.95000000000000007</c:v>
                </c:pt>
                <c:pt idx="9">
                  <c:v>0.95000000000000007</c:v>
                </c:pt>
                <c:pt idx="10">
                  <c:v>1.1500000000000001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B2-4E9E-8A81-F813621A24DD}"/>
            </c:ext>
          </c:extLst>
        </c:ser>
        <c:ser>
          <c:idx val="5"/>
          <c:order val="5"/>
          <c:tx>
            <c:v>God indtjening**</c:v>
          </c:tx>
          <c:spPr>
            <a:ln>
              <a:solidFill>
                <a:schemeClr val="accent3"/>
              </a:solidFill>
              <a:prstDash val="sysDot"/>
            </a:ln>
          </c:spPr>
          <c:marker>
            <c:symbol val="none"/>
          </c:marker>
          <c:xVal>
            <c:numRef>
              <c:f>Bidragssats!$G$26:$G$36</c:f>
              <c:numCache>
                <c:formatCode>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Bidragssats!$J$26:$J$36</c:f>
              <c:numCache>
                <c:formatCode>General</c:formatCode>
                <c:ptCount val="11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0.85000000000000009</c:v>
                </c:pt>
                <c:pt idx="8">
                  <c:v>0.85000000000000009</c:v>
                </c:pt>
                <c:pt idx="9">
                  <c:v>0.85000000000000009</c:v>
                </c:pt>
                <c:pt idx="1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B2-4E9E-8A81-F813621A2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84960"/>
        <c:axId val="50586752"/>
      </c:scatterChart>
      <c:valAx>
        <c:axId val="50584960"/>
        <c:scaling>
          <c:orientation val="minMax"/>
          <c:max val="1"/>
          <c:min val="0"/>
        </c:scaling>
        <c:delete val="0"/>
        <c:axPos val="b"/>
        <c:numFmt formatCode="0%" sourceLinked="1"/>
        <c:majorTickMark val="out"/>
        <c:minorTickMark val="none"/>
        <c:tickLblPos val="nextTo"/>
        <c:crossAx val="50586752"/>
        <c:crosses val="autoZero"/>
        <c:crossBetween val="midCat"/>
      </c:valAx>
      <c:valAx>
        <c:axId val="505867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505849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4795286511516201"/>
          <c:y val="0.71872615923009597"/>
          <c:w val="0.78771318633714504"/>
          <c:h val="0.1552634766808000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934720</xdr:colOff>
      <xdr:row>28</xdr:row>
      <xdr:rowOff>0</xdr:rowOff>
    </xdr:from>
    <xdr:to>
      <xdr:col>3</xdr:col>
      <xdr:colOff>538480</xdr:colOff>
      <xdr:row>42</xdr:row>
      <xdr:rowOff>40640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508000</xdr:colOff>
      <xdr:row>28</xdr:row>
      <xdr:rowOff>10160</xdr:rowOff>
    </xdr:from>
    <xdr:to>
      <xdr:col>8</xdr:col>
      <xdr:colOff>619760</xdr:colOff>
      <xdr:row>42</xdr:row>
      <xdr:rowOff>50800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749300</xdr:colOff>
      <xdr:row>46</xdr:row>
      <xdr:rowOff>190500</xdr:rowOff>
    </xdr:from>
    <xdr:to>
      <xdr:col>10</xdr:col>
      <xdr:colOff>635000</xdr:colOff>
      <xdr:row>48</xdr:row>
      <xdr:rowOff>63500</xdr:rowOff>
    </xdr:to>
    <xdr:cxnSp macro="">
      <xdr:nvCxnSpPr>
        <xdr:cNvPr id="3" name="Lige forbindel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9829800" y="8559800"/>
          <a:ext cx="2362200" cy="29210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635000</xdr:colOff>
      <xdr:row>43</xdr:row>
      <xdr:rowOff>127000</xdr:rowOff>
    </xdr:from>
    <xdr:to>
      <xdr:col>12</xdr:col>
      <xdr:colOff>812800</xdr:colOff>
      <xdr:row>49</xdr:row>
      <xdr:rowOff>76200</xdr:rowOff>
    </xdr:to>
    <xdr:sp macro="" textlink="">
      <xdr:nvSpPr>
        <xdr:cNvPr id="5" name="Afrundet rektange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217400" y="8648700"/>
          <a:ext cx="1752600" cy="12065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12700</xdr:colOff>
      <xdr:row>22</xdr:row>
      <xdr:rowOff>114300</xdr:rowOff>
    </xdr:from>
    <xdr:to>
      <xdr:col>22</xdr:col>
      <xdr:colOff>196850</xdr:colOff>
      <xdr:row>42</xdr:row>
      <xdr:rowOff>12700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647700</xdr:colOff>
      <xdr:row>15</xdr:row>
      <xdr:rowOff>0</xdr:rowOff>
    </xdr:from>
    <xdr:to>
      <xdr:col>11</xdr:col>
      <xdr:colOff>76200</xdr:colOff>
      <xdr:row>43</xdr:row>
      <xdr:rowOff>139700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631824</xdr:colOff>
      <xdr:row>45</xdr:row>
      <xdr:rowOff>38100</xdr:rowOff>
    </xdr:from>
    <xdr:to>
      <xdr:col>11</xdr:col>
      <xdr:colOff>114299</xdr:colOff>
      <xdr:row>67</xdr:row>
      <xdr:rowOff>127000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25400</xdr:colOff>
      <xdr:row>45</xdr:row>
      <xdr:rowOff>12700</xdr:rowOff>
    </xdr:from>
    <xdr:to>
      <xdr:col>22</xdr:col>
      <xdr:colOff>330200</xdr:colOff>
      <xdr:row>67</xdr:row>
      <xdr:rowOff>139700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1</xdr:row>
      <xdr:rowOff>25400</xdr:rowOff>
    </xdr:from>
    <xdr:to>
      <xdr:col>19</xdr:col>
      <xdr:colOff>609600</xdr:colOff>
      <xdr:row>20</xdr:row>
      <xdr:rowOff>146050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9524</xdr:colOff>
      <xdr:row>5</xdr:row>
      <xdr:rowOff>11112</xdr:rowOff>
    </xdr:from>
    <xdr:to>
      <xdr:col>24</xdr:col>
      <xdr:colOff>386080</xdr:colOff>
      <xdr:row>20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561975</xdr:colOff>
      <xdr:row>22</xdr:row>
      <xdr:rowOff>0</xdr:rowOff>
    </xdr:from>
    <xdr:to>
      <xdr:col>24</xdr:col>
      <xdr:colOff>523271</xdr:colOff>
      <xdr:row>37</xdr:row>
      <xdr:rowOff>75834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38075" y="3924300"/>
          <a:ext cx="5346096" cy="2742834"/>
        </a:xfrm>
        <a:prstGeom prst="rect">
          <a:avLst/>
        </a:prstGeom>
      </xdr:spPr>
    </xdr:pic>
    <xdr:clientData/>
  </xdr:twoCellAnchor>
  <xdr:twoCellAnchor>
    <xdr:from>
      <xdr:col>13</xdr:col>
      <xdr:colOff>457200</xdr:colOff>
      <xdr:row>38</xdr:row>
      <xdr:rowOff>28575</xdr:rowOff>
    </xdr:from>
    <xdr:to>
      <xdr:col>25</xdr:col>
      <xdr:colOff>9525</xdr:colOff>
      <xdr:row>57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400050</xdr:colOff>
      <xdr:row>57</xdr:row>
      <xdr:rowOff>76200</xdr:rowOff>
    </xdr:from>
    <xdr:to>
      <xdr:col>41</xdr:col>
      <xdr:colOff>584200</xdr:colOff>
      <xdr:row>77</xdr:row>
      <xdr:rowOff>165100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292100</xdr:colOff>
      <xdr:row>15</xdr:row>
      <xdr:rowOff>38100</xdr:rowOff>
    </xdr:from>
    <xdr:to>
      <xdr:col>41</xdr:col>
      <xdr:colOff>476250</xdr:colOff>
      <xdr:row>37</xdr:row>
      <xdr:rowOff>127000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419100</xdr:colOff>
      <xdr:row>78</xdr:row>
      <xdr:rowOff>0</xdr:rowOff>
    </xdr:from>
    <xdr:to>
      <xdr:col>41</xdr:col>
      <xdr:colOff>603250</xdr:colOff>
      <xdr:row>97</xdr:row>
      <xdr:rowOff>88900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K24" sqref="K24"/>
    </sheetView>
  </sheetViews>
  <sheetFormatPr defaultColWidth="11" defaultRowHeight="15.75" x14ac:dyDescent="0.25"/>
  <cols>
    <col min="1" max="1" width="37.5" customWidth="1"/>
    <col min="2" max="4" width="13.875" customWidth="1"/>
    <col min="5" max="5" width="5.875" customWidth="1"/>
    <col min="6" max="6" width="30.875" customWidth="1"/>
    <col min="7" max="9" width="13.875" customWidth="1"/>
  </cols>
  <sheetData>
    <row r="1" spans="1:9" ht="21" x14ac:dyDescent="0.25">
      <c r="A1" s="211" t="s">
        <v>12</v>
      </c>
      <c r="B1" s="212"/>
      <c r="C1" s="212"/>
      <c r="D1" s="212"/>
      <c r="E1" s="212"/>
      <c r="F1" s="212"/>
      <c r="G1" s="212"/>
      <c r="H1" s="212"/>
      <c r="I1" s="212"/>
    </row>
    <row r="2" spans="1:9" x14ac:dyDescent="0.25">
      <c r="A2" s="3" t="s">
        <v>10</v>
      </c>
      <c r="B2" s="219">
        <v>101</v>
      </c>
      <c r="C2" s="219"/>
      <c r="D2" s="219"/>
    </row>
    <row r="3" spans="1:9" x14ac:dyDescent="0.25">
      <c r="A3" s="3" t="s">
        <v>11</v>
      </c>
      <c r="B3" s="219">
        <v>1024</v>
      </c>
      <c r="C3" s="219"/>
      <c r="D3" s="219"/>
    </row>
    <row r="4" spans="1:9" x14ac:dyDescent="0.25">
      <c r="A4" s="25"/>
      <c r="B4" s="26"/>
      <c r="C4" s="27"/>
      <c r="D4" s="27"/>
    </row>
    <row r="5" spans="1:9" x14ac:dyDescent="0.25">
      <c r="A5" s="25"/>
      <c r="B5" s="26"/>
      <c r="C5" s="26"/>
      <c r="D5" s="26"/>
    </row>
    <row r="6" spans="1:9" x14ac:dyDescent="0.25">
      <c r="A6" s="213"/>
      <c r="B6" s="214"/>
      <c r="C6" s="214"/>
      <c r="D6" s="215"/>
      <c r="E6" s="52"/>
      <c r="F6" s="213"/>
      <c r="G6" s="214"/>
      <c r="H6" s="214"/>
      <c r="I6" s="215"/>
    </row>
    <row r="7" spans="1:9" ht="15" customHeight="1" x14ac:dyDescent="0.25">
      <c r="A7" s="3"/>
      <c r="B7" s="216" t="s">
        <v>15</v>
      </c>
      <c r="C7" s="218" t="s">
        <v>14</v>
      </c>
      <c r="D7" s="217" t="s">
        <v>5</v>
      </c>
      <c r="E7" s="53"/>
      <c r="F7" s="3"/>
      <c r="G7" s="216" t="s">
        <v>15</v>
      </c>
      <c r="H7" s="218" t="s">
        <v>14</v>
      </c>
      <c r="I7" s="217" t="s">
        <v>5</v>
      </c>
    </row>
    <row r="8" spans="1:9" x14ac:dyDescent="0.25">
      <c r="A8" s="3"/>
      <c r="B8" s="216"/>
      <c r="C8" s="218"/>
      <c r="D8" s="217"/>
      <c r="E8" s="53"/>
      <c r="F8" s="3"/>
      <c r="G8" s="216"/>
      <c r="H8" s="218"/>
      <c r="I8" s="217"/>
    </row>
    <row r="9" spans="1:9" x14ac:dyDescent="0.25">
      <c r="A9" s="7" t="s">
        <v>16</v>
      </c>
      <c r="B9" s="8"/>
      <c r="C9" s="9"/>
      <c r="D9" s="24"/>
      <c r="E9" s="54"/>
      <c r="F9" s="7" t="s">
        <v>1</v>
      </c>
      <c r="G9" s="12"/>
      <c r="H9" s="13"/>
      <c r="I9" s="14"/>
    </row>
    <row r="10" spans="1:9" x14ac:dyDescent="0.25">
      <c r="A10" s="43" t="s">
        <v>17</v>
      </c>
      <c r="B10" s="44">
        <v>20000000</v>
      </c>
      <c r="C10" s="29">
        <v>10000000</v>
      </c>
      <c r="D10" s="45">
        <f t="shared" ref="D10:D15" si="0">B10+C10</f>
        <v>30000000</v>
      </c>
      <c r="E10" s="53"/>
      <c r="F10" s="18" t="s">
        <v>2</v>
      </c>
      <c r="G10" s="37">
        <v>12500000</v>
      </c>
      <c r="H10" s="11">
        <v>10000000</v>
      </c>
      <c r="I10" s="38">
        <f>G10+H10</f>
        <v>22500000</v>
      </c>
    </row>
    <row r="11" spans="1:9" x14ac:dyDescent="0.25">
      <c r="A11" s="18" t="s">
        <v>0</v>
      </c>
      <c r="B11" s="37">
        <v>3500000</v>
      </c>
      <c r="C11" s="11"/>
      <c r="D11" s="38">
        <f t="shared" si="0"/>
        <v>3500000</v>
      </c>
      <c r="E11" s="53"/>
      <c r="F11" s="18" t="s">
        <v>23</v>
      </c>
      <c r="G11" s="17">
        <v>0</v>
      </c>
      <c r="H11" s="11"/>
      <c r="I11" s="38">
        <f>G11+H11</f>
        <v>0</v>
      </c>
    </row>
    <row r="12" spans="1:9" x14ac:dyDescent="0.25">
      <c r="A12" s="18" t="s">
        <v>31</v>
      </c>
      <c r="B12" s="37">
        <v>1500000</v>
      </c>
      <c r="C12" s="11"/>
      <c r="D12" s="38">
        <f t="shared" si="0"/>
        <v>1500000</v>
      </c>
      <c r="E12" s="53"/>
      <c r="F12" s="18" t="s">
        <v>24</v>
      </c>
      <c r="G12" s="17"/>
      <c r="H12" s="11"/>
      <c r="I12" s="38">
        <f>G12+H12</f>
        <v>0</v>
      </c>
    </row>
    <row r="13" spans="1:9" x14ac:dyDescent="0.25">
      <c r="A13" s="18" t="s">
        <v>49</v>
      </c>
      <c r="B13" s="37">
        <v>0</v>
      </c>
      <c r="C13" s="11"/>
      <c r="D13" s="38">
        <f t="shared" si="0"/>
        <v>0</v>
      </c>
      <c r="E13" s="53"/>
      <c r="F13" s="18" t="s">
        <v>50</v>
      </c>
      <c r="G13" s="17"/>
      <c r="H13" s="11"/>
      <c r="I13" s="38">
        <f>G13+H13</f>
        <v>0</v>
      </c>
    </row>
    <row r="14" spans="1:9" x14ac:dyDescent="0.25">
      <c r="A14" s="18" t="s">
        <v>33</v>
      </c>
      <c r="B14" s="37">
        <v>2500000</v>
      </c>
      <c r="C14" s="11"/>
      <c r="D14" s="38">
        <f t="shared" si="0"/>
        <v>2500000</v>
      </c>
      <c r="E14" s="53"/>
      <c r="F14" s="10" t="s">
        <v>25</v>
      </c>
      <c r="G14" s="49">
        <f>SUM(G10:G13)</f>
        <v>12500000</v>
      </c>
      <c r="H14" s="40"/>
      <c r="I14" s="49">
        <f>SUM(I10:I13)</f>
        <v>22500000</v>
      </c>
    </row>
    <row r="15" spans="1:9" x14ac:dyDescent="0.25">
      <c r="A15" s="18" t="s">
        <v>32</v>
      </c>
      <c r="B15" s="37">
        <v>1000000</v>
      </c>
      <c r="C15" s="11"/>
      <c r="D15" s="38">
        <f t="shared" si="0"/>
        <v>1000000</v>
      </c>
      <c r="E15" s="53"/>
      <c r="F15" s="18"/>
      <c r="G15" s="17"/>
      <c r="H15" s="11"/>
      <c r="I15" s="46"/>
    </row>
    <row r="16" spans="1:9" x14ac:dyDescent="0.25">
      <c r="A16" s="10" t="s">
        <v>18</v>
      </c>
      <c r="B16" s="39">
        <f>SUM(B10:B15)</f>
        <v>28500000</v>
      </c>
      <c r="C16" s="40">
        <f>SUM(C10:C14)</f>
        <v>10000000</v>
      </c>
      <c r="D16" s="41">
        <f>SUM(D10:D15)</f>
        <v>38500000</v>
      </c>
      <c r="E16" s="53"/>
      <c r="F16" s="18" t="s">
        <v>26</v>
      </c>
      <c r="G16" s="37">
        <v>500000</v>
      </c>
      <c r="H16" s="11"/>
      <c r="I16" s="38">
        <f>G16+H16</f>
        <v>500000</v>
      </c>
    </row>
    <row r="17" spans="1:9" x14ac:dyDescent="0.25">
      <c r="A17" s="18"/>
      <c r="B17" s="37"/>
      <c r="C17" s="11"/>
      <c r="D17" s="38"/>
      <c r="E17" s="53"/>
      <c r="F17" s="18" t="s">
        <v>52</v>
      </c>
      <c r="G17" s="37">
        <v>1000000</v>
      </c>
      <c r="H17" s="11"/>
      <c r="I17" s="38">
        <f>G17+H17</f>
        <v>1000000</v>
      </c>
    </row>
    <row r="18" spans="1:9" x14ac:dyDescent="0.25">
      <c r="A18" s="18" t="s">
        <v>30</v>
      </c>
      <c r="B18" s="37">
        <v>0</v>
      </c>
      <c r="C18" s="11"/>
      <c r="D18" s="38">
        <f>B18+C18</f>
        <v>0</v>
      </c>
      <c r="E18" s="53"/>
      <c r="F18" s="10" t="s">
        <v>28</v>
      </c>
      <c r="G18" s="48">
        <f>SUM(G16:G17)</f>
        <v>1500000</v>
      </c>
      <c r="H18" s="40"/>
      <c r="I18" s="49">
        <f>SUM(I16:I17)</f>
        <v>1500000</v>
      </c>
    </row>
    <row r="19" spans="1:9" x14ac:dyDescent="0.25">
      <c r="A19" s="18"/>
      <c r="B19" s="37"/>
      <c r="C19" s="11"/>
      <c r="D19" s="38"/>
      <c r="E19" s="53"/>
      <c r="F19" s="3"/>
      <c r="G19" s="37"/>
      <c r="H19" s="11"/>
      <c r="I19" s="38"/>
    </row>
    <row r="20" spans="1:9" x14ac:dyDescent="0.25">
      <c r="A20" s="18" t="s">
        <v>19</v>
      </c>
      <c r="B20" s="37">
        <v>1000000</v>
      </c>
      <c r="C20" s="11"/>
      <c r="D20" s="38">
        <f>B20+C20</f>
        <v>1000000</v>
      </c>
      <c r="E20" s="53"/>
      <c r="F20" s="4" t="s">
        <v>53</v>
      </c>
      <c r="G20" s="37"/>
      <c r="H20" s="11"/>
      <c r="I20" s="37"/>
    </row>
    <row r="21" spans="1:9" x14ac:dyDescent="0.25">
      <c r="A21" s="18" t="s">
        <v>20</v>
      </c>
      <c r="B21" s="37">
        <v>400000</v>
      </c>
      <c r="C21" s="11"/>
      <c r="D21" s="38">
        <f>B21+C21</f>
        <v>400000</v>
      </c>
      <c r="E21" s="53"/>
      <c r="H21" s="11"/>
    </row>
    <row r="22" spans="1:9" x14ac:dyDescent="0.25">
      <c r="A22" s="18" t="s">
        <v>21</v>
      </c>
      <c r="B22" s="37">
        <v>100000</v>
      </c>
      <c r="C22" s="11"/>
      <c r="D22" s="38">
        <f>B22+C22</f>
        <v>100000</v>
      </c>
      <c r="E22" s="53"/>
      <c r="F22" s="3" t="s">
        <v>3</v>
      </c>
      <c r="G22" s="37">
        <v>3500000</v>
      </c>
      <c r="H22" s="11"/>
      <c r="I22" s="47">
        <f>G22+H22</f>
        <v>3500000</v>
      </c>
    </row>
    <row r="23" spans="1:9" x14ac:dyDescent="0.25">
      <c r="A23" s="10" t="s">
        <v>22</v>
      </c>
      <c r="B23" s="39">
        <f>SUM(B20:B22)</f>
        <v>1500000</v>
      </c>
      <c r="C23" s="40"/>
      <c r="D23" s="41">
        <f>SUM(D20:D22)</f>
        <v>1500000</v>
      </c>
      <c r="E23" s="53"/>
      <c r="F23" s="3"/>
      <c r="G23" s="37"/>
      <c r="H23" s="11"/>
      <c r="I23" s="38"/>
    </row>
    <row r="24" spans="1:9" x14ac:dyDescent="0.25">
      <c r="B24" s="67"/>
      <c r="C24" s="40"/>
      <c r="D24" s="67"/>
      <c r="E24" s="53"/>
      <c r="F24" s="10" t="s">
        <v>4</v>
      </c>
      <c r="G24" s="39">
        <f>G25-G22-G18-G14-G20</f>
        <v>12500000</v>
      </c>
      <c r="H24" s="40">
        <f>I24-G24</f>
        <v>0</v>
      </c>
      <c r="I24" s="41">
        <f>I25-I22-I18-I14-I20</f>
        <v>12500000</v>
      </c>
    </row>
    <row r="25" spans="1:9" x14ac:dyDescent="0.25">
      <c r="A25" s="19" t="s">
        <v>13</v>
      </c>
      <c r="B25" s="42">
        <f>B16+B18+B23</f>
        <v>30000000</v>
      </c>
      <c r="C25" s="13"/>
      <c r="D25" s="42">
        <f>D16+D18+D23</f>
        <v>40000000</v>
      </c>
      <c r="E25" s="54"/>
      <c r="F25" s="19" t="s">
        <v>29</v>
      </c>
      <c r="G25" s="42">
        <f>B25</f>
        <v>30000000</v>
      </c>
      <c r="H25" s="50"/>
      <c r="I25" s="51">
        <f>D25</f>
        <v>40000000</v>
      </c>
    </row>
    <row r="26" spans="1:9" x14ac:dyDescent="0.25">
      <c r="A26" s="20"/>
      <c r="B26" s="21"/>
      <c r="C26" s="22"/>
      <c r="D26" s="21"/>
      <c r="E26" s="23"/>
      <c r="F26" s="23"/>
    </row>
    <row r="27" spans="1:9" x14ac:dyDescent="0.25">
      <c r="A27" s="20"/>
      <c r="B27" s="21"/>
      <c r="C27" s="22"/>
      <c r="D27" s="21"/>
      <c r="E27" s="23"/>
      <c r="F27" s="23"/>
    </row>
  </sheetData>
  <mergeCells count="11">
    <mergeCell ref="A1:I1"/>
    <mergeCell ref="A6:D6"/>
    <mergeCell ref="B7:B8"/>
    <mergeCell ref="D7:D8"/>
    <mergeCell ref="C7:C8"/>
    <mergeCell ref="B2:D2"/>
    <mergeCell ref="B3:D3"/>
    <mergeCell ref="F6:I6"/>
    <mergeCell ref="G7:G8"/>
    <mergeCell ref="H7:H8"/>
    <mergeCell ref="I7:I8"/>
  </mergeCells>
  <pageMargins left="0.75" right="0.75" top="1" bottom="1" header="0.5" footer="0.5"/>
  <pageSetup paperSize="9"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1"/>
  <sheetViews>
    <sheetView topLeftCell="A7" workbookViewId="0">
      <selection activeCell="H55" sqref="H55"/>
    </sheetView>
  </sheetViews>
  <sheetFormatPr defaultColWidth="11" defaultRowHeight="15.75" x14ac:dyDescent="0.25"/>
  <cols>
    <col min="1" max="1" width="43.375" customWidth="1"/>
    <col min="2" max="2" width="14.125" customWidth="1"/>
    <col min="3" max="3" width="14.625" style="56" bestFit="1" customWidth="1"/>
    <col min="4" max="4" width="13.375" customWidth="1"/>
    <col min="5" max="5" width="9.125" customWidth="1"/>
    <col min="6" max="6" width="27.5" customWidth="1"/>
    <col min="11" max="11" width="8.5" customWidth="1"/>
    <col min="12" max="12" width="14.375" customWidth="1"/>
    <col min="13" max="13" width="9.375" customWidth="1"/>
    <col min="14" max="14" width="15.625" bestFit="1" customWidth="1"/>
    <col min="16" max="16" width="13.75" bestFit="1" customWidth="1"/>
    <col min="18" max="18" width="13.75" bestFit="1" customWidth="1"/>
    <col min="21" max="21" width="15" bestFit="1" customWidth="1"/>
    <col min="23" max="23" width="15" bestFit="1" customWidth="1"/>
  </cols>
  <sheetData>
    <row r="1" spans="1:10" ht="21" x14ac:dyDescent="0.25">
      <c r="A1" s="211" t="s">
        <v>63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s="28" customFormat="1" x14ac:dyDescent="0.25">
      <c r="C2" s="55"/>
    </row>
    <row r="3" spans="1:10" x14ac:dyDescent="0.25">
      <c r="A3" s="226" t="s">
        <v>34</v>
      </c>
      <c r="B3" s="224"/>
      <c r="C3" s="224"/>
      <c r="D3" s="224"/>
      <c r="E3" s="224"/>
      <c r="F3" s="224"/>
      <c r="G3" s="224" t="s">
        <v>59</v>
      </c>
      <c r="H3" s="224"/>
      <c r="I3" s="224"/>
      <c r="J3" s="225"/>
    </row>
    <row r="4" spans="1:10" ht="15" customHeight="1" x14ac:dyDescent="0.25">
      <c r="A4" s="3"/>
      <c r="B4" s="216" t="s">
        <v>15</v>
      </c>
      <c r="C4" s="218" t="s">
        <v>14</v>
      </c>
      <c r="D4" s="216" t="s">
        <v>5</v>
      </c>
      <c r="E4" s="4"/>
      <c r="F4" s="4"/>
      <c r="G4" s="216" t="s">
        <v>15</v>
      </c>
      <c r="H4" s="218" t="s">
        <v>14</v>
      </c>
      <c r="I4" s="216" t="s">
        <v>5</v>
      </c>
      <c r="J4" s="59" t="s">
        <v>35</v>
      </c>
    </row>
    <row r="5" spans="1:10" x14ac:dyDescent="0.25">
      <c r="A5" s="3" t="s">
        <v>41</v>
      </c>
      <c r="B5" s="216"/>
      <c r="C5" s="218"/>
      <c r="D5" s="216"/>
      <c r="E5" s="4"/>
      <c r="F5" s="4"/>
      <c r="G5" s="216"/>
      <c r="H5" s="218"/>
      <c r="I5" s="216"/>
      <c r="J5" s="59" t="s">
        <v>36</v>
      </c>
    </row>
    <row r="6" spans="1:10" x14ac:dyDescent="0.25">
      <c r="A6" s="3"/>
      <c r="B6" s="203" t="str">
        <f>IF(SUM(B8:B12)=B7, " ", "Fejl i sum")</f>
        <v xml:space="preserve"> </v>
      </c>
      <c r="C6" s="57"/>
      <c r="D6" s="203" t="str">
        <f>IF(SUM(D8:D15)=D7, " ", "Fejl i sum")</f>
        <v xml:space="preserve"> </v>
      </c>
      <c r="E6" s="4"/>
      <c r="F6" s="4"/>
      <c r="G6" s="5"/>
      <c r="H6" s="57"/>
      <c r="I6" s="5"/>
      <c r="J6" s="6"/>
    </row>
    <row r="7" spans="1:10" ht="18.75" x14ac:dyDescent="0.3">
      <c r="A7" s="63" t="s">
        <v>48</v>
      </c>
      <c r="B7" s="112">
        <f>'1. Balance'!G10</f>
        <v>12500000</v>
      </c>
      <c r="C7" s="113">
        <f>'1. Balance'!H10</f>
        <v>10000000</v>
      </c>
      <c r="D7" s="112">
        <f>'1. Balance'!I10</f>
        <v>22500000</v>
      </c>
      <c r="E7" s="4"/>
      <c r="F7" s="65" t="s">
        <v>6</v>
      </c>
      <c r="G7" s="75">
        <v>6.4999999999999997E-3</v>
      </c>
      <c r="H7" s="76">
        <f>Beregninger!D19*0.01+J7</f>
        <v>9.6862260540548219E-4</v>
      </c>
      <c r="I7" s="75">
        <f>G7+H7</f>
        <v>7.4686226054054821E-3</v>
      </c>
      <c r="J7" s="107">
        <v>4.0000000000000002E-4</v>
      </c>
    </row>
    <row r="8" spans="1:10" x14ac:dyDescent="0.25">
      <c r="A8" s="3" t="s">
        <v>37</v>
      </c>
      <c r="B8" s="68">
        <v>5000000</v>
      </c>
      <c r="C8" s="69"/>
      <c r="D8" s="68">
        <f>B8+C8</f>
        <v>5000000</v>
      </c>
      <c r="E8" s="4"/>
      <c r="F8" s="4"/>
      <c r="G8" s="72">
        <f>Beregninger!B26+G7</f>
        <v>2.8899999999999999E-2</v>
      </c>
      <c r="H8" s="58">
        <f>H7+J8</f>
        <v>9.6862260540548219E-4</v>
      </c>
      <c r="I8" s="72">
        <f>G8+H8+J8</f>
        <v>2.986862260540548E-2</v>
      </c>
      <c r="J8" s="107"/>
    </row>
    <row r="9" spans="1:10" x14ac:dyDescent="0.25">
      <c r="A9" s="3" t="s">
        <v>148</v>
      </c>
      <c r="B9" s="68">
        <v>5000000</v>
      </c>
      <c r="C9" s="69"/>
      <c r="D9" s="68">
        <f>B9+C9</f>
        <v>5000000</v>
      </c>
      <c r="E9" s="4"/>
      <c r="F9" s="4"/>
      <c r="G9" s="72">
        <f>Beregninger!B25+G7</f>
        <v>2.9599999999999998E-2</v>
      </c>
      <c r="H9" s="58">
        <f>H$7+J9</f>
        <v>9.6862260540548219E-4</v>
      </c>
      <c r="I9" s="72">
        <f>G9+H9+J9</f>
        <v>3.0568622605405479E-2</v>
      </c>
      <c r="J9" s="107"/>
    </row>
    <row r="10" spans="1:10" x14ac:dyDescent="0.25">
      <c r="A10" s="3" t="s">
        <v>38</v>
      </c>
      <c r="B10" s="68">
        <v>2500000</v>
      </c>
      <c r="C10" s="69"/>
      <c r="D10" s="68">
        <f>B10+C10</f>
        <v>2500000</v>
      </c>
      <c r="E10" s="4"/>
      <c r="F10" s="4"/>
      <c r="G10" s="72">
        <f>Beregninger!B30+G7</f>
        <v>5.4999999999999997E-3</v>
      </c>
      <c r="H10" s="58">
        <f>H$7+J10</f>
        <v>9.6862260540548219E-4</v>
      </c>
      <c r="I10" s="72">
        <f>G10+H10+J10</f>
        <v>6.4686226054054821E-3</v>
      </c>
      <c r="J10" s="107"/>
    </row>
    <row r="11" spans="1:10" x14ac:dyDescent="0.25">
      <c r="A11" s="3" t="s">
        <v>39</v>
      </c>
      <c r="B11" s="68"/>
      <c r="C11" s="69"/>
      <c r="D11" s="68">
        <f t="shared" ref="D11:D15" si="0">B11+C11</f>
        <v>0</v>
      </c>
      <c r="E11" s="4"/>
      <c r="F11" s="4"/>
      <c r="G11" s="72">
        <f>G10</f>
        <v>5.4999999999999997E-3</v>
      </c>
      <c r="H11" s="58">
        <f>H7+J11</f>
        <v>9.6862260540548219E-4</v>
      </c>
      <c r="I11" s="72">
        <f>G11+H11+J11</f>
        <v>6.4686226054054821E-3</v>
      </c>
      <c r="J11" s="107"/>
    </row>
    <row r="12" spans="1:10" x14ac:dyDescent="0.25">
      <c r="A12" s="3" t="s">
        <v>40</v>
      </c>
      <c r="B12" s="68"/>
      <c r="C12" s="69"/>
      <c r="D12" s="68">
        <f t="shared" si="0"/>
        <v>0</v>
      </c>
      <c r="E12" s="4"/>
      <c r="F12" s="4"/>
      <c r="G12" s="72"/>
      <c r="H12" s="58">
        <f>H7+J12</f>
        <v>9.6862260540548219E-4</v>
      </c>
      <c r="I12" s="72"/>
      <c r="J12" s="107"/>
    </row>
    <row r="13" spans="1:10" x14ac:dyDescent="0.25">
      <c r="A13" s="166" t="s">
        <v>138</v>
      </c>
      <c r="B13" s="68"/>
      <c r="C13" s="106">
        <v>10000000</v>
      </c>
      <c r="D13" s="68">
        <f t="shared" si="0"/>
        <v>10000000</v>
      </c>
      <c r="E13" s="4"/>
      <c r="F13" s="4"/>
      <c r="G13" s="67"/>
      <c r="H13" s="58"/>
      <c r="I13" s="72">
        <f>IF(C13&gt;0, Beregninger!C61+$I$7+J13, 0)</f>
        <v>6.4686226054054821E-3</v>
      </c>
      <c r="J13" s="107"/>
    </row>
    <row r="14" spans="1:10" x14ac:dyDescent="0.25">
      <c r="A14" s="166" t="s">
        <v>139</v>
      </c>
      <c r="B14" s="68"/>
      <c r="C14" s="106"/>
      <c r="D14" s="68">
        <f t="shared" si="0"/>
        <v>0</v>
      </c>
      <c r="E14" s="4"/>
      <c r="F14" s="4"/>
      <c r="G14" s="67"/>
      <c r="H14" s="58"/>
      <c r="I14" s="72">
        <f>IF(C14&gt;0, Beregninger!C62+$I$7+J14, 0)</f>
        <v>0</v>
      </c>
      <c r="J14" s="107"/>
    </row>
    <row r="15" spans="1:10" x14ac:dyDescent="0.25">
      <c r="A15" s="166" t="s">
        <v>139</v>
      </c>
      <c r="B15" s="68"/>
      <c r="C15" s="106"/>
      <c r="D15" s="68">
        <f t="shared" si="0"/>
        <v>0</v>
      </c>
      <c r="E15" s="4"/>
      <c r="F15" s="4"/>
      <c r="G15" s="67"/>
      <c r="H15" s="58"/>
      <c r="I15" s="72">
        <f>IF(C15&gt;0, Beregninger!C63+$I$7+J15, 0)</f>
        <v>0</v>
      </c>
      <c r="J15" s="107"/>
    </row>
    <row r="16" spans="1:10" x14ac:dyDescent="0.25">
      <c r="A16" s="3"/>
      <c r="B16" s="68"/>
      <c r="C16" s="69"/>
      <c r="D16" s="68"/>
      <c r="E16" s="4"/>
      <c r="F16" s="4"/>
      <c r="G16" s="72"/>
      <c r="H16" s="58"/>
      <c r="I16" s="72"/>
      <c r="J16" s="74"/>
    </row>
    <row r="17" spans="1:10" ht="18.75" x14ac:dyDescent="0.3">
      <c r="A17" s="61" t="s">
        <v>23</v>
      </c>
      <c r="B17" s="112">
        <f>'1. Balance'!G11</f>
        <v>0</v>
      </c>
      <c r="C17" s="113">
        <f>'1. Balance'!H9</f>
        <v>0</v>
      </c>
      <c r="D17" s="112">
        <f>'1. Balance'!I11</f>
        <v>0</v>
      </c>
      <c r="E17" s="4"/>
      <c r="F17" s="4"/>
      <c r="G17" s="117">
        <v>0.04</v>
      </c>
      <c r="H17" s="118">
        <f>0+J17</f>
        <v>0</v>
      </c>
      <c r="I17" s="117">
        <f>G17+H17</f>
        <v>0.04</v>
      </c>
      <c r="J17" s="107"/>
    </row>
    <row r="18" spans="1:10" x14ac:dyDescent="0.25">
      <c r="A18" s="64" t="s">
        <v>43</v>
      </c>
      <c r="B18" s="68"/>
      <c r="C18" s="69"/>
      <c r="D18" s="68"/>
      <c r="E18" s="4"/>
      <c r="F18" s="4"/>
      <c r="G18" s="72"/>
      <c r="H18" s="58"/>
      <c r="I18" s="72"/>
      <c r="J18" s="74"/>
    </row>
    <row r="19" spans="1:10" x14ac:dyDescent="0.25">
      <c r="A19" s="64"/>
      <c r="B19" s="68"/>
      <c r="C19" s="69"/>
      <c r="D19" s="68"/>
      <c r="E19" s="4"/>
      <c r="F19" s="4"/>
      <c r="G19" s="72"/>
      <c r="H19" s="58"/>
      <c r="I19" s="72"/>
      <c r="J19" s="74"/>
    </row>
    <row r="20" spans="1:10" ht="18.75" x14ac:dyDescent="0.3">
      <c r="A20" s="61" t="s">
        <v>24</v>
      </c>
      <c r="B20" s="112">
        <f>'1. Balance'!G12</f>
        <v>0</v>
      </c>
      <c r="C20" s="113">
        <f>'1. Balance'!H12</f>
        <v>0</v>
      </c>
      <c r="D20" s="112">
        <f>'1. Balance'!I12</f>
        <v>0</v>
      </c>
      <c r="E20" s="4"/>
      <c r="F20" s="4"/>
      <c r="G20" s="117"/>
      <c r="H20" s="118"/>
      <c r="I20" s="117"/>
      <c r="J20" s="74"/>
    </row>
    <row r="21" spans="1:10" x14ac:dyDescent="0.25">
      <c r="A21" s="3" t="s">
        <v>42</v>
      </c>
      <c r="B21" s="68"/>
      <c r="C21" s="106"/>
      <c r="D21" s="68">
        <f>B21+C21</f>
        <v>0</v>
      </c>
      <c r="E21" s="4"/>
      <c r="F21" s="4"/>
      <c r="G21" s="72">
        <v>3.1E-2</v>
      </c>
      <c r="H21" s="114">
        <f>0+J21</f>
        <v>0</v>
      </c>
      <c r="I21" s="72">
        <f>G21+H21</f>
        <v>3.1E-2</v>
      </c>
      <c r="J21" s="107"/>
    </row>
    <row r="22" spans="1:10" x14ac:dyDescent="0.25">
      <c r="A22" s="3" t="s">
        <v>56</v>
      </c>
      <c r="B22" s="68"/>
      <c r="C22" s="106"/>
      <c r="D22" s="68">
        <f>B22+C22</f>
        <v>0</v>
      </c>
      <c r="E22" s="4"/>
      <c r="F22" s="4"/>
      <c r="G22" s="72"/>
      <c r="H22" s="58"/>
      <c r="I22" s="72"/>
      <c r="J22" s="107"/>
    </row>
    <row r="23" spans="1:10" x14ac:dyDescent="0.25">
      <c r="A23" s="3"/>
      <c r="B23" s="203" t="str">
        <f>IF(SUM(B25:B29)=B24, " ", "Fejl i sum")</f>
        <v xml:space="preserve"> </v>
      </c>
      <c r="C23" s="69"/>
      <c r="D23" s="203" t="str">
        <f>IF(SUM(D25:D29)=D24, " ", "Fejl i sum")</f>
        <v xml:space="preserve"> </v>
      </c>
      <c r="E23" s="4"/>
      <c r="F23" s="4"/>
      <c r="G23" s="72"/>
      <c r="H23" s="58"/>
      <c r="I23" s="72"/>
      <c r="J23" s="74"/>
    </row>
    <row r="24" spans="1:10" ht="18.75" x14ac:dyDescent="0.3">
      <c r="A24" s="61" t="s">
        <v>46</v>
      </c>
      <c r="B24" s="112">
        <f>'1. Balance'!G16</f>
        <v>500000</v>
      </c>
      <c r="C24" s="113">
        <f>'1. Balance'!H16</f>
        <v>0</v>
      </c>
      <c r="D24" s="112">
        <f>'1. Balance'!I16</f>
        <v>500000</v>
      </c>
      <c r="E24" s="4"/>
      <c r="F24" s="4"/>
      <c r="G24" s="117"/>
      <c r="H24" s="118"/>
      <c r="I24" s="117"/>
      <c r="J24" s="74"/>
    </row>
    <row r="25" spans="1:10" x14ac:dyDescent="0.25">
      <c r="A25" s="3" t="s">
        <v>44</v>
      </c>
      <c r="B25" s="68"/>
      <c r="C25" s="106"/>
      <c r="D25" s="68">
        <f>B25+C25</f>
        <v>0</v>
      </c>
      <c r="E25" s="4"/>
      <c r="F25" s="4"/>
      <c r="G25" s="72">
        <v>3.5000000000000003E-2</v>
      </c>
      <c r="H25" s="206">
        <f>(((1+$H$7)^2)-1)+J25</f>
        <v>1.9381834405627352E-3</v>
      </c>
      <c r="I25" s="72">
        <f>G25+H25</f>
        <v>3.6938183440562739E-2</v>
      </c>
      <c r="J25" s="107"/>
    </row>
    <row r="26" spans="1:10" x14ac:dyDescent="0.25">
      <c r="A26" s="3" t="s">
        <v>45</v>
      </c>
      <c r="B26" s="68"/>
      <c r="C26" s="106"/>
      <c r="D26" s="68">
        <f>B26+C26</f>
        <v>0</v>
      </c>
      <c r="E26" s="4"/>
      <c r="F26" s="4"/>
      <c r="G26" s="72">
        <v>4.4999999999999998E-2</v>
      </c>
      <c r="H26" s="206">
        <f t="shared" ref="H26:H28" si="1">(((1+$H$7)^2)-1)+J26</f>
        <v>1.9381834405627352E-3</v>
      </c>
      <c r="I26" s="72">
        <f>G26+H26</f>
        <v>4.6938183440562734E-2</v>
      </c>
      <c r="J26" s="107"/>
    </row>
    <row r="27" spans="1:10" x14ac:dyDescent="0.25">
      <c r="A27" s="3" t="s">
        <v>7</v>
      </c>
      <c r="B27" s="68">
        <v>500000</v>
      </c>
      <c r="C27" s="106"/>
      <c r="D27" s="68">
        <f>B27+C27</f>
        <v>500000</v>
      </c>
      <c r="E27" s="4"/>
      <c r="F27" s="4"/>
      <c r="G27" s="72">
        <v>4.4999999999999998E-2</v>
      </c>
      <c r="H27" s="206">
        <f t="shared" si="1"/>
        <v>1.9381834405627352E-3</v>
      </c>
      <c r="I27" s="72">
        <f>G27+H27</f>
        <v>4.6938183440562734E-2</v>
      </c>
      <c r="J27" s="107"/>
    </row>
    <row r="28" spans="1:10" x14ac:dyDescent="0.25">
      <c r="A28" s="3" t="s">
        <v>57</v>
      </c>
      <c r="B28" s="68"/>
      <c r="C28" s="106"/>
      <c r="D28" s="68">
        <f>B28+C28</f>
        <v>0</v>
      </c>
      <c r="E28" s="4"/>
      <c r="F28" s="4"/>
      <c r="G28" s="72"/>
      <c r="H28" s="206">
        <f t="shared" si="1"/>
        <v>1.9381834405627352E-3</v>
      </c>
      <c r="I28" s="72"/>
      <c r="J28" s="107"/>
    </row>
    <row r="29" spans="1:10" x14ac:dyDescent="0.25">
      <c r="A29" s="63" t="s">
        <v>139</v>
      </c>
      <c r="B29" s="68"/>
      <c r="C29" s="106"/>
      <c r="D29" s="68">
        <f>B29+C29</f>
        <v>0</v>
      </c>
      <c r="E29" s="4"/>
      <c r="F29" s="4"/>
      <c r="H29" s="58"/>
      <c r="I29" s="167"/>
      <c r="J29" s="74"/>
    </row>
    <row r="30" spans="1:10" x14ac:dyDescent="0.25">
      <c r="A30" s="3"/>
      <c r="B30" s="68"/>
      <c r="C30" s="69"/>
      <c r="D30" s="68"/>
      <c r="E30" s="4"/>
      <c r="F30" s="4"/>
      <c r="G30" s="72"/>
      <c r="H30" s="58"/>
      <c r="I30" s="72"/>
      <c r="J30" s="74"/>
    </row>
    <row r="31" spans="1:10" ht="18.75" x14ac:dyDescent="0.3">
      <c r="A31" s="61" t="s">
        <v>53</v>
      </c>
      <c r="B31" s="115">
        <f>'1. Balance'!G20</f>
        <v>0</v>
      </c>
      <c r="C31" s="116">
        <f>'1. Balance'!H20</f>
        <v>0</v>
      </c>
      <c r="D31" s="115">
        <f>'1. Balance'!I20</f>
        <v>0</v>
      </c>
      <c r="E31" s="4"/>
      <c r="F31" s="4"/>
      <c r="G31" s="117"/>
      <c r="H31" s="118">
        <f>0+J31</f>
        <v>0</v>
      </c>
      <c r="I31" s="117"/>
      <c r="J31" s="107"/>
    </row>
    <row r="32" spans="1:10" x14ac:dyDescent="0.25">
      <c r="A32" s="3"/>
      <c r="B32" s="68"/>
      <c r="C32" s="69"/>
      <c r="D32" s="68"/>
      <c r="E32" s="4"/>
      <c r="F32" s="4"/>
      <c r="G32" s="72"/>
      <c r="H32" s="58"/>
      <c r="I32" s="72"/>
      <c r="J32" s="74"/>
    </row>
    <row r="33" spans="1:13" ht="18.75" x14ac:dyDescent="0.3">
      <c r="A33" s="61" t="s">
        <v>8</v>
      </c>
      <c r="B33" s="112">
        <f>'1. Balance'!G17</f>
        <v>1000000</v>
      </c>
      <c r="C33" s="113">
        <f>'1. Balance'!H17</f>
        <v>0</v>
      </c>
      <c r="D33" s="112">
        <f>'1. Balance'!I17</f>
        <v>1000000</v>
      </c>
      <c r="E33" s="4"/>
      <c r="F33" s="4"/>
      <c r="G33" s="117"/>
      <c r="H33" s="118"/>
      <c r="I33" s="117"/>
      <c r="J33" s="74"/>
    </row>
    <row r="34" spans="1:13" x14ac:dyDescent="0.25">
      <c r="A34" s="3" t="s">
        <v>27</v>
      </c>
      <c r="B34" s="68">
        <v>500000</v>
      </c>
      <c r="C34" s="106"/>
      <c r="D34" s="68">
        <f>B34+C34</f>
        <v>500000</v>
      </c>
      <c r="E34" s="4"/>
      <c r="F34" s="4"/>
      <c r="G34" s="72">
        <v>0</v>
      </c>
      <c r="H34" s="58">
        <f>0+J34</f>
        <v>0</v>
      </c>
      <c r="I34" s="72">
        <f>G34+H34</f>
        <v>0</v>
      </c>
      <c r="J34" s="107"/>
    </row>
    <row r="35" spans="1:13" x14ac:dyDescent="0.25">
      <c r="A35" s="3" t="s">
        <v>54</v>
      </c>
      <c r="B35" s="68">
        <v>200000</v>
      </c>
      <c r="C35" s="106"/>
      <c r="D35" s="68">
        <f>B35+C35</f>
        <v>200000</v>
      </c>
      <c r="E35" s="4"/>
      <c r="F35" s="4"/>
      <c r="G35" s="72">
        <v>0</v>
      </c>
      <c r="H35" s="58">
        <f>0+J35</f>
        <v>0</v>
      </c>
      <c r="I35" s="72">
        <f>G35+H35</f>
        <v>0</v>
      </c>
      <c r="J35" s="107"/>
    </row>
    <row r="36" spans="1:13" x14ac:dyDescent="0.25">
      <c r="A36" s="3" t="s">
        <v>55</v>
      </c>
      <c r="B36" s="68">
        <v>300000</v>
      </c>
      <c r="C36" s="106"/>
      <c r="D36" s="68">
        <v>300000</v>
      </c>
      <c r="E36" s="4"/>
      <c r="F36" s="4"/>
      <c r="G36" s="72">
        <v>0</v>
      </c>
      <c r="H36" s="58">
        <f>0+J36</f>
        <v>0</v>
      </c>
      <c r="I36" s="72">
        <f>G36+H36</f>
        <v>0</v>
      </c>
      <c r="J36" s="107"/>
    </row>
    <row r="37" spans="1:13" x14ac:dyDescent="0.25">
      <c r="A37" s="3"/>
      <c r="B37" s="68"/>
      <c r="C37" s="69"/>
      <c r="D37" s="68"/>
      <c r="E37" s="4"/>
      <c r="F37" s="4"/>
      <c r="G37" s="72"/>
      <c r="H37" s="58"/>
      <c r="I37" s="72"/>
      <c r="J37" s="74"/>
    </row>
    <row r="38" spans="1:13" ht="18.75" x14ac:dyDescent="0.3">
      <c r="A38" s="3" t="s">
        <v>51</v>
      </c>
      <c r="B38" s="112">
        <f>'1. Balance'!G13</f>
        <v>0</v>
      </c>
      <c r="C38" s="113">
        <f>'1. Balance'!H13</f>
        <v>0</v>
      </c>
      <c r="D38" s="112">
        <f>'1. Balance'!I13</f>
        <v>0</v>
      </c>
      <c r="E38" s="4"/>
      <c r="F38" s="4"/>
      <c r="G38" s="117"/>
      <c r="H38" s="118"/>
      <c r="I38" s="117"/>
      <c r="J38" s="74"/>
    </row>
    <row r="39" spans="1:13" x14ac:dyDescent="0.25">
      <c r="A39" s="3" t="s">
        <v>47</v>
      </c>
      <c r="B39" s="68"/>
      <c r="C39" s="106"/>
      <c r="D39" s="68">
        <f>B39+C39</f>
        <v>0</v>
      </c>
      <c r="E39" s="4"/>
      <c r="F39" s="4"/>
      <c r="G39" s="72"/>
      <c r="H39" s="114">
        <f>0+J39</f>
        <v>0</v>
      </c>
      <c r="I39" s="72">
        <f>G39+H39</f>
        <v>0</v>
      </c>
      <c r="J39" s="107"/>
    </row>
    <row r="40" spans="1:13" x14ac:dyDescent="0.25">
      <c r="A40" s="3" t="s">
        <v>58</v>
      </c>
      <c r="B40" s="68"/>
      <c r="C40" s="106"/>
      <c r="D40" s="68">
        <f>B40+C40</f>
        <v>0</v>
      </c>
      <c r="E40" s="4"/>
      <c r="F40" s="4"/>
      <c r="G40" s="72"/>
      <c r="H40" s="58">
        <f>0+J40</f>
        <v>0</v>
      </c>
      <c r="I40" s="72">
        <f>G40+H40</f>
        <v>0</v>
      </c>
      <c r="J40" s="107"/>
    </row>
    <row r="41" spans="1:13" x14ac:dyDescent="0.25">
      <c r="A41" s="3" t="s">
        <v>9</v>
      </c>
      <c r="B41" s="68"/>
      <c r="C41" s="106"/>
      <c r="D41" s="68">
        <f>B41+C41</f>
        <v>0</v>
      </c>
      <c r="E41" s="4"/>
      <c r="F41" s="4"/>
      <c r="G41" s="72"/>
      <c r="H41" s="58">
        <f>0+J41</f>
        <v>0</v>
      </c>
      <c r="I41" s="72">
        <f>G41+H41</f>
        <v>0</v>
      </c>
      <c r="J41" s="107"/>
    </row>
    <row r="42" spans="1:13" x14ac:dyDescent="0.25">
      <c r="A42" s="3" t="s">
        <v>114</v>
      </c>
      <c r="B42" s="68"/>
      <c r="C42" s="106"/>
      <c r="D42" s="68">
        <f>B42+C42</f>
        <v>0</v>
      </c>
      <c r="E42" s="4"/>
      <c r="F42" s="4"/>
      <c r="G42" s="72"/>
      <c r="H42" s="58">
        <f>0+J42</f>
        <v>0</v>
      </c>
      <c r="I42" s="72">
        <f>G42+H42</f>
        <v>0</v>
      </c>
      <c r="J42" s="107"/>
    </row>
    <row r="43" spans="1:13" x14ac:dyDescent="0.25">
      <c r="A43" s="3" t="s">
        <v>115</v>
      </c>
      <c r="B43" s="68"/>
      <c r="C43" s="106"/>
      <c r="D43" s="68">
        <f>B43+C43</f>
        <v>0</v>
      </c>
      <c r="E43" s="4"/>
      <c r="F43" s="4"/>
      <c r="G43" s="72"/>
      <c r="H43" s="58">
        <f>0+J43</f>
        <v>0</v>
      </c>
      <c r="I43" s="72">
        <f>G43+H43</f>
        <v>0</v>
      </c>
      <c r="J43" s="107"/>
    </row>
    <row r="44" spans="1:13" x14ac:dyDescent="0.25">
      <c r="A44" s="3"/>
      <c r="B44" s="68"/>
      <c r="C44" s="106"/>
      <c r="D44" s="68"/>
      <c r="E44" s="4"/>
      <c r="F44" s="4"/>
      <c r="G44" s="72"/>
      <c r="H44" s="58"/>
      <c r="I44" s="72"/>
      <c r="J44" s="107"/>
    </row>
    <row r="45" spans="1:13" ht="18.75" x14ac:dyDescent="0.3">
      <c r="A45" s="61" t="s">
        <v>116</v>
      </c>
      <c r="B45" s="115">
        <f>SUM(B39:B43)+SUM(B34:B36)+SUM(B25:B28)+SUM(B21:B22)+B17+SUM(B8:B15)</f>
        <v>14000000</v>
      </c>
      <c r="C45" s="116"/>
      <c r="D45" s="115">
        <f>SUM(D39:D43)+SUM(D34:D36)+SUM(D25:D29)+SUM(D21:D22)+D17+SUM(D8:D15)</f>
        <v>24000000</v>
      </c>
      <c r="E45" s="4"/>
      <c r="F45" s="4"/>
      <c r="G45" s="117"/>
      <c r="H45" s="118"/>
      <c r="I45" s="117"/>
      <c r="J45" s="107"/>
      <c r="L45" s="220" t="s">
        <v>168</v>
      </c>
      <c r="M45" s="220"/>
    </row>
    <row r="46" spans="1:13" x14ac:dyDescent="0.25">
      <c r="A46" s="3"/>
      <c r="B46" s="68"/>
      <c r="C46" s="69"/>
      <c r="D46" s="68"/>
      <c r="E46" s="4"/>
      <c r="F46" s="4"/>
      <c r="G46" s="72"/>
      <c r="H46" s="58"/>
      <c r="I46" s="72"/>
      <c r="J46" s="74"/>
      <c r="L46" s="143" t="s">
        <v>195</v>
      </c>
      <c r="M46" s="144">
        <v>0</v>
      </c>
    </row>
    <row r="47" spans="1:13" ht="18.75" x14ac:dyDescent="0.3">
      <c r="A47" s="61" t="s">
        <v>3</v>
      </c>
      <c r="B47" s="112">
        <f>'1. Balance'!G22</f>
        <v>3500000</v>
      </c>
      <c r="C47" s="113">
        <f>'1. Balance'!H22</f>
        <v>0</v>
      </c>
      <c r="D47" s="112">
        <f>'1. Balance'!I22</f>
        <v>3500000</v>
      </c>
      <c r="E47" s="4"/>
      <c r="F47" s="4"/>
      <c r="G47" s="117">
        <v>0</v>
      </c>
      <c r="H47" s="118">
        <f>0+J47</f>
        <v>0</v>
      </c>
      <c r="I47" s="117">
        <f>G47+H47</f>
        <v>0</v>
      </c>
      <c r="J47" s="107"/>
      <c r="L47" s="143" t="s">
        <v>98</v>
      </c>
      <c r="M47" s="144">
        <f>Beregninger!F48</f>
        <v>1.4601599999999999E-2</v>
      </c>
    </row>
    <row r="48" spans="1:13" x14ac:dyDescent="0.25">
      <c r="A48" s="3"/>
      <c r="B48" s="68"/>
      <c r="C48" s="69"/>
      <c r="D48" s="68"/>
      <c r="E48" s="4"/>
      <c r="F48" s="4"/>
      <c r="G48" s="72"/>
      <c r="H48" s="58"/>
      <c r="I48" s="72"/>
      <c r="J48" s="74"/>
      <c r="L48" s="143" t="s">
        <v>167</v>
      </c>
      <c r="M48" s="157">
        <f>(((1+H7)^6)-1)*(1-C60)</f>
        <v>4.5441452688284121E-3</v>
      </c>
    </row>
    <row r="49" spans="1:13" ht="18.75" x14ac:dyDescent="0.3">
      <c r="A49" s="62" t="s">
        <v>4</v>
      </c>
      <c r="B49" s="70">
        <f>'1. Balance'!G24</f>
        <v>12500000</v>
      </c>
      <c r="C49" s="71">
        <f>'1. Balance'!H24</f>
        <v>0</v>
      </c>
      <c r="D49" s="70">
        <f>'1. Balance'!I24</f>
        <v>12500000</v>
      </c>
      <c r="E49" s="35"/>
      <c r="F49" s="35" t="s">
        <v>177</v>
      </c>
      <c r="G49" s="150">
        <v>6.3500000000000001E-2</v>
      </c>
      <c r="H49" s="60">
        <f>M49+J49</f>
        <v>1.914574526882841E-2</v>
      </c>
      <c r="I49" s="73">
        <f>G49+H49</f>
        <v>8.2645745268828411E-2</v>
      </c>
      <c r="J49" s="108"/>
      <c r="M49" s="144">
        <f>SUM(M46:M48)</f>
        <v>1.914574526882841E-2</v>
      </c>
    </row>
    <row r="50" spans="1:13" ht="18.75" x14ac:dyDescent="0.3">
      <c r="A50" s="66" t="s">
        <v>29</v>
      </c>
      <c r="B50" s="79">
        <f>B49+B47+B45</f>
        <v>30000000</v>
      </c>
      <c r="C50" s="80">
        <f>D50-B50</f>
        <v>10000000</v>
      </c>
      <c r="D50" s="79">
        <f>D49+D47+D45</f>
        <v>40000000</v>
      </c>
      <c r="E50" s="77"/>
      <c r="F50" t="s">
        <v>181</v>
      </c>
      <c r="G50" s="73">
        <f>G49/(1-C60)</f>
        <v>8.1410256410256412E-2</v>
      </c>
      <c r="H50" s="73"/>
      <c r="I50" s="73">
        <f>I49/(1-C60)</f>
        <v>0.10595608367798513</v>
      </c>
      <c r="J50" s="73"/>
    </row>
    <row r="51" spans="1:13" ht="18.75" x14ac:dyDescent="0.3">
      <c r="B51" s="142" t="str">
        <f>IF(B50-'1. Balance'!B25=0," ", "Fejl i balance")</f>
        <v xml:space="preserve"> </v>
      </c>
      <c r="D51" s="142" t="str">
        <f>IF(D50-'1. Balance'!D25=0," ", "Fejl i balance")</f>
        <v xml:space="preserve"> </v>
      </c>
      <c r="F51" s="77" t="s">
        <v>117</v>
      </c>
      <c r="G51" s="91">
        <f>Beregninger!K48/B50</f>
        <v>4.4879273504273502E-2</v>
      </c>
      <c r="H51" s="91"/>
      <c r="I51" s="91">
        <f>Beregninger!L48/D50</f>
        <v>4.3274103657917978E-2</v>
      </c>
      <c r="J51" s="78"/>
      <c r="K51" s="151" t="s">
        <v>170</v>
      </c>
    </row>
    <row r="52" spans="1:13" ht="18.75" x14ac:dyDescent="0.3">
      <c r="F52" s="66" t="s">
        <v>118</v>
      </c>
      <c r="G52" s="91">
        <f>(Beregninger!K54)/'2. Finansiering'!B50</f>
        <v>3.5005833333333333E-2</v>
      </c>
      <c r="H52" s="91"/>
      <c r="I52" s="91">
        <f>(Beregninger!L54)/D50</f>
        <v>3.3753800853176023E-2</v>
      </c>
      <c r="J52" s="146"/>
    </row>
    <row r="53" spans="1:13" ht="18.75" x14ac:dyDescent="0.3">
      <c r="A53" s="221" t="s">
        <v>60</v>
      </c>
      <c r="B53" s="222"/>
      <c r="C53" s="222"/>
      <c r="D53" s="223"/>
      <c r="F53" s="221" t="s">
        <v>122</v>
      </c>
      <c r="G53" s="222"/>
      <c r="H53" s="222"/>
      <c r="I53" s="222"/>
      <c r="J53" s="223"/>
    </row>
    <row r="54" spans="1:13" x14ac:dyDescent="0.25">
      <c r="A54" s="3"/>
      <c r="B54" s="4"/>
      <c r="C54" s="11"/>
      <c r="D54" s="6"/>
      <c r="F54" s="31"/>
      <c r="G54" s="32"/>
      <c r="H54" s="92"/>
      <c r="I54" s="32"/>
      <c r="J54" s="33"/>
      <c r="L54" s="209"/>
      <c r="M54" s="209"/>
    </row>
    <row r="55" spans="1:13" ht="18.75" x14ac:dyDescent="0.3">
      <c r="A55" s="63" t="s">
        <v>64</v>
      </c>
      <c r="B55" s="94">
        <f>(B45)/B50</f>
        <v>0.46666666666666667</v>
      </c>
      <c r="C55" s="103"/>
      <c r="D55" s="200">
        <f>(D45)/D50</f>
        <v>0.6</v>
      </c>
      <c r="F55" s="210" t="s">
        <v>179</v>
      </c>
      <c r="G55" s="81"/>
      <c r="H55" s="93">
        <f>Beregninger!R27</f>
        <v>3.84585941188514E-2</v>
      </c>
      <c r="I55" s="4"/>
      <c r="J55" s="6"/>
    </row>
    <row r="56" spans="1:13" x14ac:dyDescent="0.25">
      <c r="A56" s="18" t="s">
        <v>97</v>
      </c>
      <c r="B56" s="132">
        <f>(B41+B40+B39+B33+B31+B24+B20+B17+B7)/B50</f>
        <v>0.46666666666666667</v>
      </c>
      <c r="C56" s="90"/>
      <c r="D56" s="133">
        <f>(D41+D40+D39+D33+D31+D24+D20+D17+D7)/D50</f>
        <v>0.6</v>
      </c>
      <c r="H56" s="90"/>
      <c r="I56" s="4"/>
      <c r="J56" s="6"/>
    </row>
    <row r="57" spans="1:13" x14ac:dyDescent="0.25">
      <c r="A57" s="63"/>
      <c r="B57" s="95"/>
      <c r="C57" s="103"/>
      <c r="D57" s="96"/>
      <c r="F57" s="3" t="s">
        <v>125</v>
      </c>
      <c r="G57" s="4"/>
      <c r="H57" s="208">
        <f>Beregninger!R27</f>
        <v>3.84585941188514E-2</v>
      </c>
      <c r="I57" s="156"/>
      <c r="J57" s="6"/>
    </row>
    <row r="58" spans="1:13" x14ac:dyDescent="0.25">
      <c r="A58" s="63" t="s">
        <v>78</v>
      </c>
      <c r="B58" s="109" t="s">
        <v>65</v>
      </c>
      <c r="C58" s="103"/>
      <c r="D58" s="201" t="s">
        <v>65</v>
      </c>
      <c r="F58" s="149" t="s">
        <v>121</v>
      </c>
      <c r="G58" s="4"/>
      <c r="H58" s="208">
        <f>Beregninger!U29</f>
        <v>2.9997703412704101E-2</v>
      </c>
      <c r="I58" s="4"/>
      <c r="J58" s="6"/>
    </row>
    <row r="59" spans="1:13" x14ac:dyDescent="0.25">
      <c r="A59" s="63"/>
      <c r="B59" s="95"/>
      <c r="C59" s="103"/>
      <c r="D59" s="96"/>
      <c r="F59" s="3" t="s">
        <v>124</v>
      </c>
      <c r="G59" s="4"/>
      <c r="H59" s="207">
        <f>Beregninger!V29</f>
        <v>2.307515647131084E-2</v>
      </c>
      <c r="I59" s="4"/>
      <c r="J59" s="6"/>
    </row>
    <row r="60" spans="1:13" x14ac:dyDescent="0.25">
      <c r="A60" s="63" t="s">
        <v>62</v>
      </c>
      <c r="B60" s="94"/>
      <c r="C60" s="110">
        <v>0.22</v>
      </c>
      <c r="D60" s="96"/>
      <c r="F60" s="149" t="s">
        <v>120</v>
      </c>
      <c r="G60" s="4"/>
      <c r="H60" s="207">
        <f>Beregninger!W29</f>
        <v>1.6921781412294615E-2</v>
      </c>
      <c r="I60" s="4"/>
      <c r="J60" s="6"/>
    </row>
    <row r="61" spans="1:13" x14ac:dyDescent="0.25">
      <c r="A61" s="63"/>
      <c r="B61" s="97"/>
      <c r="C61" s="104"/>
      <c r="D61" s="98"/>
      <c r="F61" s="3"/>
      <c r="G61" s="4"/>
      <c r="H61" s="90"/>
      <c r="I61" s="4"/>
      <c r="J61" s="6"/>
    </row>
    <row r="62" spans="1:13" ht="18.75" x14ac:dyDescent="0.3">
      <c r="A62" s="99"/>
      <c r="B62" s="100"/>
      <c r="C62" s="105"/>
      <c r="D62" s="101"/>
      <c r="F62" s="153" t="s">
        <v>123</v>
      </c>
      <c r="G62" s="32"/>
      <c r="H62" s="92"/>
      <c r="I62" s="32"/>
      <c r="J62" s="33"/>
    </row>
    <row r="63" spans="1:13" ht="18.75" x14ac:dyDescent="0.3">
      <c r="A63" s="63" t="s">
        <v>61</v>
      </c>
      <c r="B63" s="202"/>
      <c r="C63" s="111">
        <v>1.4999999999999999E-2</v>
      </c>
      <c r="D63" s="102"/>
      <c r="F63" s="3" t="s">
        <v>125</v>
      </c>
      <c r="G63" s="4"/>
      <c r="H63" s="152">
        <f>((1+H57)/(1+$C$63))-1</f>
        <v>2.3111915388031035E-2</v>
      </c>
      <c r="I63" s="4"/>
      <c r="J63" s="6"/>
    </row>
    <row r="64" spans="1:13" ht="18.75" x14ac:dyDescent="0.3">
      <c r="A64" s="3"/>
      <c r="B64" s="4"/>
      <c r="C64" s="16"/>
      <c r="D64" s="6"/>
      <c r="F64" s="149" t="s">
        <v>121</v>
      </c>
      <c r="G64" s="28"/>
      <c r="H64" s="152">
        <f>((1+H58)/(1+$C$63))-1</f>
        <v>1.4776062475570617E-2</v>
      </c>
      <c r="I64" s="15"/>
      <c r="J64" s="6"/>
    </row>
    <row r="65" spans="1:10" ht="18.75" x14ac:dyDescent="0.3">
      <c r="A65" s="34"/>
      <c r="B65" s="35"/>
      <c r="C65" s="30"/>
      <c r="D65" s="36"/>
      <c r="F65" s="3" t="s">
        <v>124</v>
      </c>
      <c r="G65" s="4"/>
      <c r="H65" s="152">
        <f>((1+H59)/(1+$C$63))-1</f>
        <v>7.9558191835575887E-3</v>
      </c>
      <c r="I65" s="4"/>
      <c r="J65" s="6"/>
    </row>
    <row r="66" spans="1:10" ht="18.75" x14ac:dyDescent="0.3">
      <c r="F66" s="154" t="s">
        <v>120</v>
      </c>
      <c r="G66" s="128"/>
      <c r="H66" s="155">
        <f>((1+H60)/(1+$C$63))-1</f>
        <v>1.8933807017682547E-3</v>
      </c>
      <c r="I66" s="35"/>
      <c r="J66" s="129"/>
    </row>
    <row r="69" spans="1:10" ht="18.75" x14ac:dyDescent="0.3">
      <c r="A69" s="221" t="s">
        <v>119</v>
      </c>
      <c r="B69" s="222"/>
      <c r="C69" s="222"/>
      <c r="D69" s="222"/>
      <c r="E69" s="222"/>
      <c r="F69" s="222"/>
      <c r="G69" s="222"/>
      <c r="H69" s="222"/>
      <c r="I69" s="222"/>
      <c r="J69" s="223"/>
    </row>
    <row r="70" spans="1:10" x14ac:dyDescent="0.25">
      <c r="A70" s="31"/>
      <c r="B70" s="32"/>
      <c r="C70" s="189"/>
      <c r="D70" s="32"/>
      <c r="E70" s="32"/>
      <c r="F70" s="32"/>
      <c r="G70" s="32"/>
      <c r="H70" s="32"/>
      <c r="I70" s="32"/>
      <c r="J70" s="33"/>
    </row>
    <row r="71" spans="1:10" x14ac:dyDescent="0.25">
      <c r="A71" s="3" t="s">
        <v>180</v>
      </c>
      <c r="B71" s="4"/>
      <c r="C71" s="5"/>
      <c r="D71" s="4"/>
      <c r="E71" s="4"/>
      <c r="F71" s="4"/>
      <c r="G71" s="4"/>
      <c r="H71" s="4"/>
      <c r="I71" s="4"/>
      <c r="J71" s="6"/>
    </row>
    <row r="72" spans="1:10" x14ac:dyDescent="0.25">
      <c r="A72" s="3" t="s">
        <v>149</v>
      </c>
      <c r="B72" s="4"/>
      <c r="C72" s="5"/>
      <c r="D72" s="4"/>
      <c r="E72" s="4"/>
      <c r="F72" s="4"/>
      <c r="G72" s="4"/>
      <c r="H72" s="4"/>
      <c r="I72" s="4"/>
      <c r="J72" s="6"/>
    </row>
    <row r="73" spans="1:10" x14ac:dyDescent="0.25">
      <c r="A73" s="3"/>
      <c r="B73" s="4"/>
      <c r="C73" s="5"/>
      <c r="D73" s="4"/>
      <c r="E73" s="4"/>
      <c r="F73" s="4"/>
      <c r="G73" s="4"/>
      <c r="H73" s="4"/>
      <c r="I73" s="4"/>
      <c r="J73" s="6"/>
    </row>
    <row r="74" spans="1:10" x14ac:dyDescent="0.25">
      <c r="A74" s="99" t="s">
        <v>182</v>
      </c>
      <c r="B74" s="32"/>
      <c r="C74" s="189"/>
      <c r="D74" s="33"/>
      <c r="E74" s="4"/>
      <c r="F74" s="99" t="s">
        <v>188</v>
      </c>
      <c r="G74" s="32"/>
      <c r="H74" s="189"/>
      <c r="I74" s="32"/>
      <c r="J74" s="33"/>
    </row>
    <row r="75" spans="1:10" x14ac:dyDescent="0.25">
      <c r="A75" s="3"/>
      <c r="B75" s="5" t="s">
        <v>73</v>
      </c>
      <c r="C75" s="5"/>
      <c r="D75" s="192" t="s">
        <v>5</v>
      </c>
      <c r="E75" s="4"/>
      <c r="F75" s="3"/>
      <c r="G75" s="5"/>
      <c r="H75" s="5"/>
      <c r="I75" s="5"/>
      <c r="J75" s="6"/>
    </row>
    <row r="76" spans="1:10" x14ac:dyDescent="0.25">
      <c r="A76" s="63" t="s">
        <v>183</v>
      </c>
      <c r="B76" s="159">
        <v>4.4999999999999998E-2</v>
      </c>
      <c r="C76" s="188"/>
      <c r="D76" s="160">
        <v>4.4999999999999998E-2</v>
      </c>
      <c r="E76" s="4"/>
      <c r="F76" s="63" t="s">
        <v>159</v>
      </c>
      <c r="G76" s="190"/>
      <c r="H76" s="28"/>
      <c r="I76" s="158">
        <v>0.04</v>
      </c>
      <c r="J76" s="6"/>
    </row>
    <row r="77" spans="1:10" x14ac:dyDescent="0.25">
      <c r="A77" s="3" t="s">
        <v>184</v>
      </c>
      <c r="B77" s="195">
        <f>(((B76*'2. Finansiering'!B50)-SUM(Beregninger!K5:K41))*(1-C60))/'2. Finansiering'!B49</f>
        <v>6.3726000000000005E-2</v>
      </c>
      <c r="C77" s="188"/>
      <c r="D77" s="196">
        <f>((D76*'2. Finansiering'!D50)-SUM(Beregninger!L5:L41))*(1-C60)/'2. Finansiering'!D49</f>
        <v>8.6953582538665142E-2</v>
      </c>
      <c r="E77" s="4"/>
      <c r="F77" s="149" t="s">
        <v>192</v>
      </c>
      <c r="G77" s="147"/>
      <c r="H77" s="188"/>
      <c r="I77" s="148">
        <f>Beregninger!M72</f>
        <v>2.010758253866515E-2</v>
      </c>
      <c r="J77" s="6"/>
    </row>
    <row r="78" spans="1:10" x14ac:dyDescent="0.25">
      <c r="A78" s="3"/>
      <c r="B78" s="4"/>
      <c r="C78" s="5"/>
      <c r="D78" s="6"/>
      <c r="E78" s="4"/>
      <c r="F78" s="3"/>
      <c r="G78" s="4"/>
      <c r="H78" s="5"/>
      <c r="I78" s="4"/>
      <c r="J78" s="6"/>
    </row>
    <row r="79" spans="1:10" x14ac:dyDescent="0.25">
      <c r="A79" s="3" t="str">
        <f>CONCATENATE(Beregninger!A81,TEXT(Beregninger!A82,"0,00 %"),Beregninger!A83,TEXT(Beregninger!A84,"0,00 %"))</f>
        <v>Med andre ord, hvis kravet til egenkapitalens forrentning efter skat henholdsvis er 6,37 % og 8,70 %</v>
      </c>
      <c r="B79" s="4"/>
      <c r="C79" s="5"/>
      <c r="D79" s="6"/>
      <c r="E79" s="4"/>
      <c r="F79" s="3" t="str">
        <f>CONCATENATE(Beregninger!F81,TEXT(Beregninger!F82,"0,00 %"))</f>
        <v>Med andre ord, hvis kravet til egenkapitalens forrentning efter skat stiger med 2,01 %</v>
      </c>
      <c r="G79" s="4"/>
      <c r="H79" s="5"/>
      <c r="I79" s="4"/>
      <c r="J79" s="6"/>
    </row>
    <row r="80" spans="1:10" x14ac:dyDescent="0.25">
      <c r="A80" s="3" t="str">
        <f>CONCATENATE(Beregninger!A85)</f>
        <v xml:space="preserve">før og efter investeringen, bliver kravet til afkastningsgraden for hele virksomheden før skat </v>
      </c>
      <c r="B80" s="4"/>
      <c r="C80" s="5"/>
      <c r="D80" s="6"/>
      <c r="E80" s="4"/>
      <c r="F80" s="3" t="str">
        <f>CONCATENATE(Beregninger!F85, TEXT(Beregninger!F86,"0,00 %"))</f>
        <v>bliver kravet til afkastningsgraden før skat (isoleret for investeringen) på 4,00 %</v>
      </c>
      <c r="G80" s="4"/>
      <c r="H80" s="5"/>
      <c r="I80" s="4"/>
      <c r="J80" s="6"/>
    </row>
    <row r="81" spans="1:10" x14ac:dyDescent="0.25">
      <c r="A81" s="3" t="str">
        <f>CONCATENATE(Beregninger!A86,TEXT(Beregninger!A87,"0,00 %"),Beregninger!A88,TEXT(Beregninger!A89,"0,00 %"),Beregninger!A90)</f>
        <v xml:space="preserve">henholdsvis 4,50 % og 4,50 % (som indsat). </v>
      </c>
      <c r="B81" s="4"/>
      <c r="C81" s="5"/>
      <c r="D81" s="6"/>
      <c r="E81" s="4"/>
      <c r="F81" s="3"/>
      <c r="G81" s="4"/>
      <c r="H81" s="5"/>
      <c r="I81" s="4"/>
      <c r="J81" s="6"/>
    </row>
    <row r="82" spans="1:10" x14ac:dyDescent="0.25">
      <c r="A82" s="3"/>
      <c r="B82" s="4"/>
      <c r="C82" s="5"/>
      <c r="D82" s="6"/>
      <c r="E82" s="4"/>
      <c r="F82" s="3" t="str">
        <f>CONCATENATE(Beregninger!F88,TEXT(Beregninger!F89,"0,00 %"), Beregninger!F90)</f>
        <v>Bemærk at denne stigning i egenkapitalens forrentning på 2,01 % er større end</v>
      </c>
      <c r="G82" s="4"/>
      <c r="H82" s="5"/>
      <c r="I82" s="4"/>
      <c r="J82" s="6"/>
    </row>
    <row r="83" spans="1:10" x14ac:dyDescent="0.25">
      <c r="A83" s="3" t="str">
        <f>CONCATENATE(Beregninger!A91,TEXT(Beregninger!A92,"0,00 %"),Beregninger!A93,TEXT(Beregninger!A94,"0,00 %"),Beregninger!A95,TEXT(Beregninger!A96,"0,00 %"))</f>
        <v>Hvis kravet til egenkapitalens forrentning efter skat stiger med: 8,70 % - 6,37 % = 2,32 %</v>
      </c>
      <c r="B83" s="4"/>
      <c r="C83" s="5"/>
      <c r="D83" s="6"/>
      <c r="E83" s="4"/>
      <c r="F83" s="3" t="str">
        <f>CONCATENATE(Beregninger!F91,TEXT(Beregninger!F92,"0,00 %"),Beregninger!F93)</f>
        <v>den foreslåede ændring på 1,91 % ifht gearing og risiko, som foreslået</v>
      </c>
      <c r="G83" s="4"/>
      <c r="H83" s="5"/>
      <c r="I83" s="4"/>
      <c r="J83" s="6"/>
    </row>
    <row r="84" spans="1:10" x14ac:dyDescent="0.25">
      <c r="A84" s="3" t="str">
        <f>CONCATENATE(Beregninger!A97,TEXT(Beregninger!A98,"0,00 %"), Beregninger!A99)</f>
        <v>skal kravet til afkastningsgraden dermed falde med 0,00 % (som forudsat)</v>
      </c>
      <c r="B84" s="4"/>
      <c r="C84" s="5"/>
      <c r="D84" s="6"/>
      <c r="E84" s="4"/>
      <c r="F84" s="3" t="str">
        <f>CONCATENATE(Beregninger!F94)</f>
        <v>i beregningen ovenfor.</v>
      </c>
      <c r="G84" s="4"/>
      <c r="H84" s="5"/>
      <c r="I84" s="4"/>
      <c r="J84" s="6"/>
    </row>
    <row r="85" spans="1:10" x14ac:dyDescent="0.25">
      <c r="A85" s="3"/>
      <c r="B85" s="4"/>
      <c r="C85" s="5"/>
      <c r="D85" s="6"/>
      <c r="E85" s="4"/>
      <c r="F85" s="3"/>
      <c r="G85" s="4"/>
      <c r="H85" s="5"/>
      <c r="I85" s="4"/>
      <c r="J85" s="6"/>
    </row>
    <row r="86" spans="1:10" x14ac:dyDescent="0.25">
      <c r="A86" s="3" t="str">
        <f>CONCATENATE(Beregninger!A101,TEXT(Beregninger!A102,"0,00 %"), Beregninger!A103, Beregninger!A104)</f>
        <v>Bemærk at denne stigning i egenkapitalens forrentning, dvs de 2,32 %, er større end den</v>
      </c>
      <c r="B86" s="4"/>
      <c r="C86" s="5"/>
      <c r="D86" s="6"/>
      <c r="E86" s="4"/>
      <c r="F86" s="3" t="str">
        <f>CONCATENATE(Beregninger!F96)</f>
        <v>Prøv at indtaste en korrektion i egenkapitalens forrentning på:</v>
      </c>
      <c r="G86" s="4"/>
      <c r="H86" s="5"/>
      <c r="I86" s="4"/>
      <c r="J86" s="6"/>
    </row>
    <row r="87" spans="1:10" x14ac:dyDescent="0.25">
      <c r="A87" s="3" t="str">
        <f>CONCATENATE(Beregninger!A105,TEXT(Beregninger!A106,"0,00 %"), Beregninger!A107)</f>
        <v>foreslåede ændring på 1,91 % ifht gearing og renterisiko, som foreslået i beregningen ovenfor.</v>
      </c>
      <c r="B87" s="4"/>
      <c r="C87" s="5"/>
      <c r="D87" s="6"/>
      <c r="E87" s="4"/>
      <c r="F87" s="3" t="str">
        <f>CONCATENATE(TEXT(Beregninger!F97,"0,00 %"),Beregninger!F98,TEXT(Beregninger!F99,"0,00 %"),Beregninger!F100,,TEXT(Beregninger!F101,"0,00 %"))</f>
        <v>2,01 % - 1,91 % = 0,10 %</v>
      </c>
      <c r="G87" s="4"/>
      <c r="H87" s="5"/>
      <c r="I87" s="4"/>
      <c r="J87" s="6"/>
    </row>
    <row r="88" spans="1:10" x14ac:dyDescent="0.25">
      <c r="A88" s="34"/>
      <c r="B88" s="35"/>
      <c r="C88" s="191"/>
      <c r="D88" s="36"/>
      <c r="E88" s="4"/>
      <c r="F88" s="34" t="str">
        <f>CONCATENATE(Beregninger!F102, ,TEXT(Beregninger!F103,"0,00 %"))</f>
        <v>Så bliver kravet til afkastningsgraden præcis de 4,00 %</v>
      </c>
      <c r="G88" s="35"/>
      <c r="H88" s="191"/>
      <c r="I88" s="35"/>
      <c r="J88" s="36"/>
    </row>
    <row r="89" spans="1:10" x14ac:dyDescent="0.25">
      <c r="A89" s="34"/>
      <c r="B89" s="35"/>
      <c r="C89" s="191"/>
      <c r="D89" s="35"/>
      <c r="E89" s="35"/>
      <c r="F89" s="35"/>
      <c r="G89" s="35"/>
      <c r="H89" s="191"/>
      <c r="I89" s="35"/>
      <c r="J89" s="36"/>
    </row>
    <row r="90" spans="1:10" x14ac:dyDescent="0.25">
      <c r="B90" s="23"/>
      <c r="C90" s="197"/>
      <c r="D90" s="23"/>
      <c r="E90" s="23"/>
      <c r="F90" s="26"/>
      <c r="G90" s="26"/>
      <c r="H90" s="26"/>
      <c r="I90" s="26"/>
      <c r="J90" s="26"/>
    </row>
    <row r="91" spans="1:10" x14ac:dyDescent="0.25">
      <c r="B91" s="23"/>
      <c r="C91" s="197"/>
      <c r="D91" s="23"/>
      <c r="E91" s="23"/>
      <c r="F91" s="26"/>
      <c r="G91" s="26"/>
      <c r="H91" s="26"/>
      <c r="I91" s="26"/>
      <c r="J91" s="26"/>
    </row>
  </sheetData>
  <mergeCells count="13">
    <mergeCell ref="A1:J1"/>
    <mergeCell ref="A53:D53"/>
    <mergeCell ref="F53:J53"/>
    <mergeCell ref="B4:B5"/>
    <mergeCell ref="C4:C5"/>
    <mergeCell ref="D4:D5"/>
    <mergeCell ref="G4:G5"/>
    <mergeCell ref="H4:H5"/>
    <mergeCell ref="L45:M45"/>
    <mergeCell ref="A69:J69"/>
    <mergeCell ref="I4:I5"/>
    <mergeCell ref="G3:J3"/>
    <mergeCell ref="A3:F3"/>
  </mergeCells>
  <dataValidations disablePrompts="1" count="1">
    <dataValidation type="whole" errorStyle="warning" allowBlank="1" showInputMessage="1" showErrorMessage="1" errorTitle="Sum skal passe" error="Den valgte ændring skal fordeles mellem nye lån" sqref="C15">
      <formula1>C7-C13-C14</formula1>
      <formula2>C7-C13-C14</formula2>
    </dataValidation>
  </dataValidations>
  <pageMargins left="0.75" right="0.75" top="1" bottom="1" header="0.5" footer="0.5"/>
  <pageSetup paperSize="9" orientation="portrait" horizontalDpi="4294967292" verticalDpi="4294967292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Beregninger!$B$7:$D$7</xm:f>
          </x14:formula1>
          <xm:sqref>B58</xm:sqref>
        </x14:dataValidation>
        <x14:dataValidation type="list" allowBlank="1" showInputMessage="1" showErrorMessage="1">
          <x14:formula1>
            <xm:f>Beregninger!$B$13:$D$13</xm:f>
          </x14:formula1>
          <xm:sqref>D58</xm:sqref>
        </x14:dataValidation>
        <x14:dataValidation type="list" allowBlank="1" showInputMessage="1">
          <x14:formula1>
            <xm:f>Beregninger!$A$54:$A$60</xm:f>
          </x14:formula1>
          <xm:sqref>A13:A15</xm:sqref>
        </x14:dataValidation>
        <x14:dataValidation type="list" allowBlank="1" showInputMessage="1" showErrorMessage="1">
          <x14:formula1>
            <xm:f>Beregninger!$A$64:$A$68</xm:f>
          </x14:formula1>
          <xm:sqref>A29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"/>
  <sheetViews>
    <sheetView zoomScale="75" zoomScaleNormal="75" zoomScalePageLayoutView="75" workbookViewId="0">
      <selection activeCell="F82" sqref="F82"/>
    </sheetView>
  </sheetViews>
  <sheetFormatPr defaultColWidth="11" defaultRowHeight="15.75" x14ac:dyDescent="0.25"/>
  <sheetData>
    <row r="2" spans="2:11" x14ac:dyDescent="0.25">
      <c r="B2" s="31"/>
      <c r="C2" s="32"/>
      <c r="D2" s="32"/>
      <c r="E2" s="32"/>
      <c r="F2" s="32"/>
      <c r="G2" s="32"/>
      <c r="H2" s="32"/>
      <c r="I2" s="32"/>
      <c r="J2" s="32"/>
      <c r="K2" s="33"/>
    </row>
    <row r="3" spans="2:11" ht="21" x14ac:dyDescent="0.35">
      <c r="B3" s="131" t="s">
        <v>95</v>
      </c>
      <c r="C3" s="4"/>
      <c r="D3" s="4"/>
      <c r="E3" s="4"/>
      <c r="F3" s="4"/>
      <c r="G3" s="4"/>
      <c r="H3" s="4"/>
      <c r="I3" s="4"/>
      <c r="J3" s="4"/>
      <c r="K3" s="6"/>
    </row>
    <row r="4" spans="2:11" x14ac:dyDescent="0.25">
      <c r="B4" s="3"/>
      <c r="C4" s="4"/>
      <c r="D4" s="4"/>
      <c r="E4" s="4"/>
      <c r="F4" s="4"/>
      <c r="G4" s="4"/>
      <c r="H4" s="4"/>
      <c r="I4" s="4"/>
      <c r="J4" s="4"/>
      <c r="K4" s="6"/>
    </row>
    <row r="5" spans="2:11" x14ac:dyDescent="0.25">
      <c r="B5" s="3" t="s">
        <v>174</v>
      </c>
      <c r="C5" s="4"/>
      <c r="D5" s="4"/>
      <c r="E5" s="4"/>
      <c r="F5" s="4"/>
      <c r="G5" s="4"/>
      <c r="H5" s="4"/>
      <c r="I5" s="4"/>
      <c r="J5" s="4"/>
      <c r="K5" s="6"/>
    </row>
    <row r="6" spans="2:11" x14ac:dyDescent="0.25">
      <c r="B6" s="3"/>
      <c r="C6" s="4"/>
      <c r="D6" s="4"/>
      <c r="E6" s="4"/>
      <c r="F6" s="4"/>
      <c r="G6" s="4"/>
      <c r="H6" s="4"/>
      <c r="I6" s="4"/>
      <c r="J6" s="4"/>
      <c r="K6" s="6"/>
    </row>
    <row r="7" spans="2:11" x14ac:dyDescent="0.25">
      <c r="B7" s="3"/>
      <c r="C7" s="4"/>
      <c r="D7" s="4"/>
      <c r="E7" s="4"/>
      <c r="F7" s="4"/>
      <c r="G7" s="4"/>
      <c r="H7" s="4"/>
      <c r="I7" s="4"/>
      <c r="J7" s="4"/>
      <c r="K7" s="6"/>
    </row>
    <row r="8" spans="2:11" x14ac:dyDescent="0.25">
      <c r="B8" s="3"/>
      <c r="C8" s="4"/>
      <c r="D8" s="4"/>
      <c r="E8" s="4"/>
      <c r="F8" s="4"/>
      <c r="G8" s="4"/>
      <c r="H8" s="4"/>
      <c r="I8" s="4"/>
      <c r="J8" s="4"/>
      <c r="K8" s="6"/>
    </row>
    <row r="9" spans="2:11" x14ac:dyDescent="0.25">
      <c r="B9" s="3"/>
      <c r="C9" s="4"/>
      <c r="D9" s="4"/>
      <c r="E9" s="4"/>
      <c r="F9" s="4"/>
      <c r="G9" s="4"/>
      <c r="H9" s="4"/>
      <c r="I9" s="4"/>
      <c r="J9" s="4"/>
      <c r="K9" s="6"/>
    </row>
    <row r="10" spans="2:11" x14ac:dyDescent="0.25">
      <c r="B10" s="3"/>
      <c r="C10" s="4"/>
      <c r="D10" s="4"/>
      <c r="E10" s="4"/>
      <c r="F10" s="4"/>
      <c r="G10" s="4"/>
      <c r="H10" s="4"/>
      <c r="I10" s="4"/>
      <c r="J10" s="4"/>
      <c r="K10" s="6"/>
    </row>
    <row r="11" spans="2:11" x14ac:dyDescent="0.25">
      <c r="B11" s="3"/>
      <c r="C11" s="4"/>
      <c r="D11" s="4"/>
      <c r="E11" s="4"/>
      <c r="F11" s="4"/>
      <c r="G11" s="4"/>
      <c r="H11" s="4"/>
      <c r="I11" s="4"/>
      <c r="J11" s="4"/>
      <c r="K11" s="6"/>
    </row>
    <row r="12" spans="2:11" x14ac:dyDescent="0.25">
      <c r="B12" s="3"/>
      <c r="C12" s="4"/>
      <c r="D12" s="4"/>
      <c r="E12" s="4"/>
      <c r="F12" s="4"/>
      <c r="G12" s="4"/>
      <c r="H12" s="4"/>
      <c r="I12" s="4"/>
      <c r="J12" s="4"/>
      <c r="K12" s="6"/>
    </row>
    <row r="13" spans="2:11" x14ac:dyDescent="0.25">
      <c r="B13" s="3"/>
      <c r="C13" s="4"/>
      <c r="D13" s="4"/>
      <c r="E13" s="4"/>
      <c r="F13" s="4"/>
      <c r="G13" s="4"/>
      <c r="H13" s="4"/>
      <c r="I13" s="4"/>
      <c r="J13" s="4"/>
      <c r="K13" s="6"/>
    </row>
    <row r="14" spans="2:11" x14ac:dyDescent="0.25">
      <c r="B14" s="34"/>
      <c r="C14" s="35"/>
      <c r="D14" s="35"/>
      <c r="E14" s="35"/>
      <c r="F14" s="35"/>
      <c r="G14" s="35"/>
      <c r="H14" s="35"/>
      <c r="I14" s="35"/>
      <c r="J14" s="35"/>
      <c r="K14" s="36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0"/>
  <sheetViews>
    <sheetView topLeftCell="C1" zoomScale="125" zoomScaleNormal="125" zoomScalePageLayoutView="125" workbookViewId="0">
      <selection activeCell="I16" sqref="I16"/>
    </sheetView>
  </sheetViews>
  <sheetFormatPr defaultColWidth="8.875" defaultRowHeight="15" x14ac:dyDescent="0.25"/>
  <cols>
    <col min="1" max="6" width="8.875" style="83"/>
    <col min="7" max="7" width="14.5" style="83" customWidth="1"/>
    <col min="8" max="11" width="8.875" style="83"/>
    <col min="12" max="12" width="19" style="83" customWidth="1"/>
    <col min="13" max="16384" width="8.875" style="83"/>
  </cols>
  <sheetData>
    <row r="3" spans="1:16" x14ac:dyDescent="0.25">
      <c r="I3" s="83">
        <v>0.39</v>
      </c>
    </row>
    <row r="4" spans="1:16" x14ac:dyDescent="0.25">
      <c r="I4" s="83">
        <v>0.25</v>
      </c>
    </row>
    <row r="6" spans="1:16" x14ac:dyDescent="0.25">
      <c r="I6" s="83">
        <v>0.28999999999999998</v>
      </c>
    </row>
    <row r="7" spans="1:16" x14ac:dyDescent="0.25">
      <c r="I7" s="83">
        <f>0.35</f>
        <v>0.35</v>
      </c>
    </row>
    <row r="8" spans="1:16" x14ac:dyDescent="0.25">
      <c r="L8" s="83" t="s">
        <v>79</v>
      </c>
      <c r="N8" s="83" t="s">
        <v>70</v>
      </c>
      <c r="O8" s="83" t="s">
        <v>65</v>
      </c>
      <c r="P8" s="83" t="s">
        <v>71</v>
      </c>
    </row>
    <row r="9" spans="1:16" x14ac:dyDescent="0.25">
      <c r="H9" s="84">
        <v>0.08</v>
      </c>
      <c r="I9" s="84">
        <v>0.39</v>
      </c>
      <c r="J9" s="84">
        <v>0.4</v>
      </c>
      <c r="N9" s="84">
        <f t="shared" ref="N9:P10" si="0">H9</f>
        <v>0.08</v>
      </c>
      <c r="O9" s="84">
        <f t="shared" si="0"/>
        <v>0.39</v>
      </c>
      <c r="P9" s="84">
        <f t="shared" si="0"/>
        <v>0.4</v>
      </c>
    </row>
    <row r="10" spans="1:16" ht="15.75" thickBot="1" x14ac:dyDescent="0.3">
      <c r="G10" s="85" t="s">
        <v>66</v>
      </c>
      <c r="H10" s="86">
        <v>0.6</v>
      </c>
      <c r="I10" s="86">
        <v>0.25</v>
      </c>
      <c r="J10" s="86">
        <v>0.2</v>
      </c>
      <c r="M10" s="85" t="s">
        <v>66</v>
      </c>
      <c r="N10" s="86">
        <f t="shared" si="0"/>
        <v>0.6</v>
      </c>
      <c r="O10" s="86">
        <f t="shared" si="0"/>
        <v>0.25</v>
      </c>
      <c r="P10" s="86">
        <f t="shared" si="0"/>
        <v>0.2</v>
      </c>
    </row>
    <row r="11" spans="1:16" x14ac:dyDescent="0.25">
      <c r="G11" s="204">
        <v>0</v>
      </c>
      <c r="H11" s="87">
        <f>EXP(G11)*$H$10+$H$9</f>
        <v>0.67999999999999994</v>
      </c>
      <c r="I11" s="87">
        <f t="shared" ref="I11:I23" si="1">EXP(G11)*$I$10+$I$9</f>
        <v>0.64</v>
      </c>
      <c r="J11" s="87">
        <f>EXP(G11)*$J$10+$J$9</f>
        <v>0.60000000000000009</v>
      </c>
      <c r="L11" s="83" t="s">
        <v>67</v>
      </c>
      <c r="M11" s="88">
        <f>'2. Finansiering'!B55</f>
        <v>0.46666666666666667</v>
      </c>
      <c r="N11" s="87">
        <f>EXP(M11)*$N$10+$N$9</f>
        <v>1.0368018549369893</v>
      </c>
      <c r="O11" s="87">
        <f>EXP(M11)*$O$10+$O$9</f>
        <v>0.78866743955707896</v>
      </c>
      <c r="P11" s="87">
        <f>EXP(M11)*$P$10+$P$9</f>
        <v>0.71893395164566321</v>
      </c>
    </row>
    <row r="12" spans="1:16" x14ac:dyDescent="0.25">
      <c r="G12" s="204">
        <v>0.1</v>
      </c>
      <c r="H12" s="87">
        <f t="shared" ref="H12:H23" si="2">EXP(G12)*$H$10+$H$9</f>
        <v>0.74310255084538857</v>
      </c>
      <c r="I12" s="87">
        <f t="shared" si="1"/>
        <v>0.66629272951891194</v>
      </c>
      <c r="J12" s="87">
        <f t="shared" ref="J12:J23" si="3">EXP(G12)*$J$10+$J$9</f>
        <v>0.62103418361512963</v>
      </c>
      <c r="L12" s="83" t="s">
        <v>68</v>
      </c>
      <c r="M12" s="88">
        <f>'2. Finansiering'!D55</f>
        <v>0.6</v>
      </c>
      <c r="N12" s="87">
        <f>EXP(M12)*$N$10+$N$9</f>
        <v>1.1732712802343053</v>
      </c>
      <c r="O12" s="87">
        <f>EXP(M12)*$O$10+$O$9</f>
        <v>0.84552970009762718</v>
      </c>
      <c r="P12" s="87">
        <f>EXP(M12)*$P$10+$P$9</f>
        <v>0.76442376007810187</v>
      </c>
    </row>
    <row r="13" spans="1:16" x14ac:dyDescent="0.25">
      <c r="G13" s="204">
        <v>0.2</v>
      </c>
      <c r="H13" s="87">
        <f t="shared" si="2"/>
        <v>0.81284165489610183</v>
      </c>
      <c r="I13" s="87">
        <f t="shared" si="1"/>
        <v>0.69535068954004253</v>
      </c>
      <c r="J13" s="87">
        <f t="shared" si="3"/>
        <v>0.64428055163203402</v>
      </c>
      <c r="N13" s="87"/>
      <c r="O13" s="87"/>
      <c r="P13" s="87"/>
    </row>
    <row r="14" spans="1:16" x14ac:dyDescent="0.25">
      <c r="A14" s="87">
        <f>AVERAGE(H11:H14)</f>
        <v>0.78146487257177311</v>
      </c>
      <c r="C14" s="83">
        <v>0.68</v>
      </c>
      <c r="D14" s="87">
        <f>AVERAGE(I11:I14)</f>
        <v>0.68227703023823882</v>
      </c>
      <c r="E14" s="87"/>
      <c r="F14" s="87">
        <f>AVERAGE(J11:J14)</f>
        <v>0.63382162419059107</v>
      </c>
      <c r="G14" s="204">
        <v>0.3</v>
      </c>
      <c r="H14" s="87">
        <f t="shared" si="2"/>
        <v>0.88991528454560187</v>
      </c>
      <c r="I14" s="87">
        <f t="shared" si="1"/>
        <v>0.72746470189400081</v>
      </c>
      <c r="J14" s="87">
        <f t="shared" si="3"/>
        <v>0.66997176151520066</v>
      </c>
    </row>
    <row r="15" spans="1:16" x14ac:dyDescent="0.25">
      <c r="G15" s="204">
        <v>0.4</v>
      </c>
      <c r="H15" s="87">
        <f t="shared" si="2"/>
        <v>0.9750948185847621</v>
      </c>
      <c r="I15" s="87">
        <f t="shared" si="1"/>
        <v>0.7629561744103176</v>
      </c>
      <c r="J15" s="87">
        <f t="shared" si="3"/>
        <v>0.69836493952825407</v>
      </c>
    </row>
    <row r="16" spans="1:16" x14ac:dyDescent="0.25">
      <c r="G16" s="204">
        <v>0.5</v>
      </c>
      <c r="H16" s="87">
        <f t="shared" si="2"/>
        <v>1.0692327624200768</v>
      </c>
      <c r="I16" s="87">
        <f t="shared" si="1"/>
        <v>0.80218031767503206</v>
      </c>
      <c r="J16" s="87">
        <f t="shared" si="3"/>
        <v>0.72974425414002564</v>
      </c>
    </row>
    <row r="17" spans="1:14" x14ac:dyDescent="0.25">
      <c r="A17" s="87">
        <f>AVERAGE(H15:H17)</f>
        <v>1.0725329537463815</v>
      </c>
      <c r="C17" s="83">
        <v>0.8</v>
      </c>
      <c r="D17" s="87">
        <f>AVERAGE(I15:I17)</f>
        <v>0.80355539739432569</v>
      </c>
      <c r="E17" s="87"/>
      <c r="F17" s="87">
        <f>AVERAGE(J15:J17)</f>
        <v>0.73084431791546045</v>
      </c>
      <c r="G17" s="204">
        <v>0.6</v>
      </c>
      <c r="H17" s="87">
        <f t="shared" si="2"/>
        <v>1.1732712802343053</v>
      </c>
      <c r="I17" s="87">
        <f t="shared" si="1"/>
        <v>0.84552970009762718</v>
      </c>
      <c r="J17" s="87">
        <f t="shared" si="3"/>
        <v>0.76442376007810187</v>
      </c>
    </row>
    <row r="18" spans="1:14" x14ac:dyDescent="0.25">
      <c r="G18" s="204">
        <v>0.7</v>
      </c>
      <c r="H18" s="87">
        <f t="shared" si="2"/>
        <v>1.2882516244822859</v>
      </c>
      <c r="I18" s="87">
        <f t="shared" si="1"/>
        <v>0.89343817686761917</v>
      </c>
      <c r="J18" s="87">
        <f t="shared" si="3"/>
        <v>0.80275054149409542</v>
      </c>
    </row>
    <row r="19" spans="1:14" x14ac:dyDescent="0.25">
      <c r="G19" s="204">
        <v>0.8</v>
      </c>
      <c r="H19" s="87">
        <f t="shared" si="2"/>
        <v>1.4153245570954807</v>
      </c>
      <c r="I19" s="87">
        <f t="shared" si="1"/>
        <v>0.94638523212311698</v>
      </c>
      <c r="J19" s="87">
        <f t="shared" si="3"/>
        <v>0.84510818569849366</v>
      </c>
    </row>
    <row r="20" spans="1:14" x14ac:dyDescent="0.25">
      <c r="A20" s="87">
        <f>AVERAGE(H18:H20)</f>
        <v>1.4197793494239788</v>
      </c>
      <c r="C20" s="83">
        <v>0.95</v>
      </c>
      <c r="D20" s="87">
        <f>AVERAGE(I18:I20)</f>
        <v>0.94824139559332465</v>
      </c>
      <c r="E20" s="87"/>
      <c r="F20" s="87">
        <f>AVERAGE(J18:J20)</f>
        <v>0.84659311647465962</v>
      </c>
      <c r="G20" s="204">
        <v>0.9</v>
      </c>
      <c r="H20" s="87">
        <f t="shared" si="2"/>
        <v>1.5557618666941699</v>
      </c>
      <c r="I20" s="87">
        <f t="shared" si="1"/>
        <v>1.0049007777892376</v>
      </c>
      <c r="J20" s="87">
        <f t="shared" si="3"/>
        <v>0.89192062223139001</v>
      </c>
    </row>
    <row r="21" spans="1:14" x14ac:dyDescent="0.25">
      <c r="G21" s="204">
        <v>1</v>
      </c>
      <c r="H21" s="87">
        <f t="shared" si="2"/>
        <v>1.710969097075427</v>
      </c>
      <c r="I21" s="87">
        <f t="shared" si="1"/>
        <v>1.0695704571147613</v>
      </c>
      <c r="J21" s="87">
        <f t="shared" si="3"/>
        <v>0.94365636569180911</v>
      </c>
    </row>
    <row r="22" spans="1:14" x14ac:dyDescent="0.25">
      <c r="G22" s="204">
        <v>1.1000000000000001</v>
      </c>
      <c r="H22" s="87">
        <f t="shared" si="2"/>
        <v>1.8824996143678601</v>
      </c>
      <c r="I22" s="87">
        <f t="shared" si="1"/>
        <v>1.1410415059866084</v>
      </c>
      <c r="J22" s="87">
        <f t="shared" si="3"/>
        <v>1.0008332047892867</v>
      </c>
    </row>
    <row r="23" spans="1:14" x14ac:dyDescent="0.25">
      <c r="A23" s="87">
        <f>AVERAGE(H21:H23)</f>
        <v>1.8885129550284052</v>
      </c>
      <c r="C23" s="83">
        <v>1.08</v>
      </c>
      <c r="D23" s="87">
        <f>AVERAGE(I21:I23)</f>
        <v>1.1435470645951689</v>
      </c>
      <c r="E23" s="87"/>
      <c r="F23" s="87">
        <f>AVERAGE(J21:J23)</f>
        <v>1.002837651676135</v>
      </c>
      <c r="G23" s="204">
        <v>1.2</v>
      </c>
      <c r="H23" s="87">
        <f t="shared" si="2"/>
        <v>2.0720701536419281</v>
      </c>
      <c r="I23" s="87">
        <f t="shared" si="1"/>
        <v>1.2200292306841369</v>
      </c>
      <c r="J23" s="87">
        <f t="shared" si="3"/>
        <v>1.0640233845473095</v>
      </c>
    </row>
    <row r="26" spans="1:14" x14ac:dyDescent="0.25">
      <c r="G26" s="89">
        <f>G11</f>
        <v>0</v>
      </c>
      <c r="H26" s="83">
        <f>IF((ROUND(AVERAGE(H11:H14)*10,0)/10)-(ROUND(AVERAGE(H11:H14)*100,0)/100)&lt;0.05,(IF((ROUND(AVERAGE(H11:H14)*10,0)/10)-(ROUND(AVERAGE(H11:H14)*100,0)/100)&gt;0,(ROUND(AVERAGE(H11:H14)*10,0)/10),(ROUND(AVERAGE(H11:H14)*10,0)/10)+0.05)),(ROUND(AVERAGE(H11:H14)*10,0)/10)-0.05)</f>
        <v>0.8</v>
      </c>
      <c r="I26" s="83">
        <f>IF((ROUND(AVERAGE(I11:I14)*10,0)/10)-(ROUND(AVERAGE(I11:I14)*100,0)/100)&lt;0.05,(IF((ROUND(AVERAGE(I11:I14)*10,0)/10)-(ROUND(AVERAGE(I11:I14)*100,0)/100)&gt;0,(ROUND(AVERAGE(I11:I14)*10,0)/10),(ROUND(AVERAGE(I11:I14)*10,0)/10)+0.05)),(ROUND(AVERAGE(I11:I14)*10,0)/10)-0.05)</f>
        <v>0.7</v>
      </c>
      <c r="J26" s="83">
        <f>IF((ROUND(AVERAGE(J11:J14)*10,0)/10)-(ROUND(AVERAGE(J11:J14)*100,0)/100)&lt;0.05,(IF((ROUND(AVERAGE(J11:J14)*10,0)/10)-(ROUND(AVERAGE(J11:J14)*100,0)/100)&gt;0,(ROUND(AVERAGE(J11:J14)*10,0)/10),(ROUND(AVERAGE(J11:J14)*10,0)/10)+0.05)),(ROUND(AVERAGE(J11:J14)*10,0)/10)-0.05)</f>
        <v>0.65</v>
      </c>
      <c r="L26" s="83">
        <f>ROUND(AVERAGE(H11:H14)*10,0)/10</f>
        <v>0.8</v>
      </c>
      <c r="M26" s="83">
        <f>ROUND(AVERAGE(H11:H14)*100,0)/100</f>
        <v>0.78</v>
      </c>
      <c r="N26" s="83">
        <f>L26-M26</f>
        <v>2.0000000000000018E-2</v>
      </c>
    </row>
    <row r="27" spans="1:14" x14ac:dyDescent="0.25">
      <c r="G27" s="89">
        <f t="shared" ref="G27:G38" si="4">G12</f>
        <v>0.1</v>
      </c>
      <c r="H27" s="83">
        <f>H26</f>
        <v>0.8</v>
      </c>
      <c r="I27" s="83">
        <f t="shared" ref="I27:J29" si="5">I26</f>
        <v>0.7</v>
      </c>
      <c r="J27" s="83">
        <f t="shared" si="5"/>
        <v>0.65</v>
      </c>
      <c r="L27" s="83">
        <f t="shared" ref="L27:L38" si="6">ROUND(AVERAGE(H12:H15)*10,0)/10</f>
        <v>0.9</v>
      </c>
      <c r="M27" s="83">
        <f t="shared" ref="M27:M38" si="7">ROUND(AVERAGE(H12:H15)*100,0)/100</f>
        <v>0.86</v>
      </c>
      <c r="N27" s="83">
        <f t="shared" ref="N27:N38" si="8">L27-M27</f>
        <v>4.0000000000000036E-2</v>
      </c>
    </row>
    <row r="28" spans="1:14" x14ac:dyDescent="0.25">
      <c r="G28" s="89">
        <f t="shared" si="4"/>
        <v>0.2</v>
      </c>
      <c r="H28" s="83">
        <f>H27</f>
        <v>0.8</v>
      </c>
      <c r="I28" s="83">
        <f t="shared" si="5"/>
        <v>0.7</v>
      </c>
      <c r="J28" s="83">
        <f t="shared" si="5"/>
        <v>0.65</v>
      </c>
      <c r="L28" s="83">
        <f t="shared" si="6"/>
        <v>0.9</v>
      </c>
      <c r="M28" s="83">
        <f t="shared" si="7"/>
        <v>0.94</v>
      </c>
      <c r="N28" s="83">
        <f t="shared" si="8"/>
        <v>-3.9999999999999925E-2</v>
      </c>
    </row>
    <row r="29" spans="1:14" x14ac:dyDescent="0.25">
      <c r="G29" s="89">
        <f t="shared" si="4"/>
        <v>0.3</v>
      </c>
      <c r="H29" s="83">
        <f>H28</f>
        <v>0.8</v>
      </c>
      <c r="I29" s="83">
        <f t="shared" si="5"/>
        <v>0.7</v>
      </c>
      <c r="J29" s="83">
        <f t="shared" si="5"/>
        <v>0.65</v>
      </c>
      <c r="L29" s="83">
        <f t="shared" si="6"/>
        <v>1</v>
      </c>
      <c r="M29" s="83">
        <f t="shared" si="7"/>
        <v>1.03</v>
      </c>
      <c r="N29" s="83">
        <f t="shared" si="8"/>
        <v>-3.0000000000000027E-2</v>
      </c>
    </row>
    <row r="30" spans="1:14" x14ac:dyDescent="0.25">
      <c r="G30" s="89">
        <f t="shared" si="4"/>
        <v>0.4</v>
      </c>
      <c r="H30" s="83">
        <f>IF((ROUND(AVERAGE(H14:H17)*10,0)/10)-(ROUND(AVERAGE(H14:H17)*100,0)/100)&lt;0.05,(IF((ROUND(AVERAGE(H14:H17)*10,0)/10)-(ROUND(AVERAGE(H14:H17)*100,0)/100)&gt;0,(ROUND(AVERAGE(H14:H17)*10,0)/10),(ROUND(AVERAGE(H14:H17)*10,0)/10)+0.05)),(ROUND(AVERAGE(H14:H17)*10,0)/10)-0.05)</f>
        <v>1.05</v>
      </c>
      <c r="I30" s="83">
        <f>IF((ROUND(AVERAGE(I14:I17)*10,0)/10)-(ROUND(AVERAGE(I14:I17)*100,0)/100)&lt;0.05,(IF((ROUND(AVERAGE(I14:I17)*10,0)/10)-(ROUND(AVERAGE(I14:I17)*100,0)/100)&gt;0,(ROUND(AVERAGE(I14:I17)*10,0)/10),(ROUND(AVERAGE(I14:I17)*10,0)/10)+0.05)),(ROUND(AVERAGE(I14:I17)*10,0)/10)-0.05)</f>
        <v>0.8</v>
      </c>
      <c r="J30" s="83">
        <f>IF((ROUND(AVERAGE(J14:J17)*10,0)/10)-(ROUND(AVERAGE(J14:J17)*100,0)/100)&lt;0.05,(IF((ROUND(AVERAGE(J14:J17)*10,0)/10)-(ROUND(AVERAGE(J14:J17)*100,0)/100)&gt;0,(ROUND(AVERAGE(J14:J17)*10,0)/10),(ROUND(AVERAGE(J14:J17)*10,0)/10)+0.05)),(ROUND(AVERAGE(J14:J17)*10,0)/10)-0.05)</f>
        <v>0.75</v>
      </c>
      <c r="L30" s="83">
        <f t="shared" si="6"/>
        <v>1.1000000000000001</v>
      </c>
      <c r="M30" s="83">
        <f t="shared" si="7"/>
        <v>1.1299999999999999</v>
      </c>
      <c r="N30" s="83">
        <f t="shared" si="8"/>
        <v>-2.9999999999999805E-2</v>
      </c>
    </row>
    <row r="31" spans="1:14" x14ac:dyDescent="0.25">
      <c r="G31" s="89">
        <f t="shared" si="4"/>
        <v>0.5</v>
      </c>
      <c r="H31" s="83">
        <f t="shared" ref="H31:J32" si="9">H30</f>
        <v>1.05</v>
      </c>
      <c r="I31" s="83">
        <f t="shared" si="9"/>
        <v>0.8</v>
      </c>
      <c r="J31" s="83">
        <f t="shared" si="9"/>
        <v>0.75</v>
      </c>
      <c r="L31" s="83">
        <f t="shared" si="6"/>
        <v>1.2</v>
      </c>
      <c r="M31" s="83">
        <f t="shared" si="7"/>
        <v>1.24</v>
      </c>
      <c r="N31" s="83">
        <f t="shared" si="8"/>
        <v>-4.0000000000000036E-2</v>
      </c>
    </row>
    <row r="32" spans="1:14" x14ac:dyDescent="0.25">
      <c r="G32" s="89">
        <f t="shared" si="4"/>
        <v>0.6</v>
      </c>
      <c r="H32" s="83">
        <f t="shared" si="9"/>
        <v>1.05</v>
      </c>
      <c r="I32" s="83">
        <f t="shared" si="9"/>
        <v>0.8</v>
      </c>
      <c r="J32" s="83">
        <f t="shared" si="9"/>
        <v>0.75</v>
      </c>
      <c r="L32" s="83">
        <f t="shared" si="6"/>
        <v>1.4</v>
      </c>
      <c r="M32" s="83">
        <f t="shared" si="7"/>
        <v>1.36</v>
      </c>
      <c r="N32" s="83">
        <f t="shared" si="8"/>
        <v>3.9999999999999813E-2</v>
      </c>
    </row>
    <row r="33" spans="7:14" x14ac:dyDescent="0.25">
      <c r="G33" s="89">
        <f t="shared" si="4"/>
        <v>0.7</v>
      </c>
      <c r="H33" s="83">
        <f>IF((ROUND(AVERAGE(H17:H20)*10,0)/10)-(ROUND(AVERAGE(H17:H20)*100,0)/100)&lt;0.05,(IF((ROUND(AVERAGE(H17:H20)*10,0)/10)-(ROUND(AVERAGE(H17:H20)*100,0)/100)&gt;0,(ROUND(AVERAGE(H17:H20)*10,0)/10),(ROUND(AVERAGE(H17:H20)*10,0)/10)+0.05)),(ROUND(AVERAGE(H17:H20)*10,0)/10)-0.05)</f>
        <v>1.4</v>
      </c>
      <c r="I33" s="83">
        <f>IF((ROUND(AVERAGE(I17:I20)*10,0)/10)-(ROUND(AVERAGE(I17:I20)*100,0)/100)&lt;0.05,(IF((ROUND(AVERAGE(I17:I20)*10,0)/10)-(ROUND(AVERAGE(I17:I20)*100,0)/100)&gt;0,(ROUND(AVERAGE(I17:I20)*10,0)/10),(ROUND(AVERAGE(I17:I20)*10,0)/10)+0.05)),(ROUND(AVERAGE(I17:I20)*10,0)/10)-0.05)</f>
        <v>0.95000000000000007</v>
      </c>
      <c r="J33" s="83">
        <f>IF((ROUND(AVERAGE(J17:J20)*10,0)/10)-(ROUND(AVERAGE(J17:J20)*100,0)/100)&lt;0.05,(IF((ROUND(AVERAGE(J17:J20)*10,0)/10)-(ROUND(AVERAGE(J17:J20)*100,0)/100)&gt;0,(ROUND(AVERAGE(J17:J20)*10,0)/10),(ROUND(AVERAGE(J17:J20)*10,0)/10)+0.05)),(ROUND(AVERAGE(J17:J20)*10,0)/10)-0.05)</f>
        <v>0.85000000000000009</v>
      </c>
      <c r="L33" s="83">
        <f t="shared" si="6"/>
        <v>1.5</v>
      </c>
      <c r="M33" s="83">
        <f t="shared" si="7"/>
        <v>1.49</v>
      </c>
      <c r="N33" s="83">
        <f t="shared" si="8"/>
        <v>1.0000000000000009E-2</v>
      </c>
    </row>
    <row r="34" spans="7:14" x14ac:dyDescent="0.25">
      <c r="G34" s="89">
        <f t="shared" si="4"/>
        <v>0.8</v>
      </c>
      <c r="H34" s="83">
        <f t="shared" ref="H34:J35" si="10">H33</f>
        <v>1.4</v>
      </c>
      <c r="I34" s="83">
        <f t="shared" si="10"/>
        <v>0.95000000000000007</v>
      </c>
      <c r="J34" s="83">
        <f t="shared" si="10"/>
        <v>0.85000000000000009</v>
      </c>
      <c r="L34" s="83">
        <f t="shared" si="6"/>
        <v>1.6</v>
      </c>
      <c r="M34" s="83">
        <f t="shared" si="7"/>
        <v>1.64</v>
      </c>
      <c r="N34" s="83">
        <f t="shared" si="8"/>
        <v>-3.9999999999999813E-2</v>
      </c>
    </row>
    <row r="35" spans="7:14" x14ac:dyDescent="0.25">
      <c r="G35" s="89">
        <f t="shared" si="4"/>
        <v>0.9</v>
      </c>
      <c r="H35" s="83">
        <f t="shared" si="10"/>
        <v>1.4</v>
      </c>
      <c r="I35" s="83">
        <f t="shared" si="10"/>
        <v>0.95000000000000007</v>
      </c>
      <c r="J35" s="83">
        <f t="shared" si="10"/>
        <v>0.85000000000000009</v>
      </c>
      <c r="L35" s="83">
        <f t="shared" si="6"/>
        <v>1.8</v>
      </c>
      <c r="M35" s="83">
        <f t="shared" si="7"/>
        <v>1.81</v>
      </c>
      <c r="N35" s="83">
        <f t="shared" si="8"/>
        <v>-1.0000000000000009E-2</v>
      </c>
    </row>
    <row r="36" spans="7:14" x14ac:dyDescent="0.25">
      <c r="G36" s="89">
        <f t="shared" si="4"/>
        <v>1</v>
      </c>
      <c r="H36" s="83">
        <f>IF((ROUND(AVERAGE(H20:H23)*10,0)/10)-(ROUND(AVERAGE(H20:H23)*100,0)/100)&lt;0.05,(IF((ROUND(AVERAGE(H20:H23)*10,0)/10)-(ROUND(AVERAGE(H20:H23)*100,0)/100)&gt;0,(ROUND(AVERAGE(H20:H23)*10,0)/10),(ROUND(AVERAGE(H20:H23)*10,0)/10)+0.05)),(ROUND(AVERAGE(H20:H23)*10,0)/10)-0.05)</f>
        <v>1.85</v>
      </c>
      <c r="I36" s="83">
        <f>IF((ROUND(AVERAGE(I20:I23)*10,0)/10)-(ROUND(AVERAGE(I20:I23)*100,0)/100)&lt;0.05,(IF((ROUND(AVERAGE(I20:I23)*10,0)/10)-(ROUND(AVERAGE(I20:I23)*100,0)/100)&gt;0,(ROUND(AVERAGE(I20:I23)*10,0)/10),(ROUND(AVERAGE(I20:I23)*10,0)/10)+0.05)),(ROUND(AVERAGE(I20:I23)*10,0)/10)-0.05)</f>
        <v>1.1500000000000001</v>
      </c>
      <c r="J36" s="83">
        <f>IF((ROUND(AVERAGE(J20:J23)*10,0)/10)-(ROUND(AVERAGE(J20:J23)*100,0)/100)&lt;0.05,(IF((ROUND(AVERAGE(J20:J23)*10,0)/10)-(ROUND(AVERAGE(J20:J23)*100,0)/100)&gt;0,(ROUND(AVERAGE(J20:J23)*10,0)/10),(ROUND(AVERAGE(J20:J23)*10,0)/10)+0.05)),(ROUND(AVERAGE(J20:J23)*10,0)/10)-0.05)</f>
        <v>1</v>
      </c>
      <c r="L36" s="83">
        <f t="shared" si="6"/>
        <v>1.9</v>
      </c>
      <c r="M36" s="83">
        <f t="shared" si="7"/>
        <v>1.89</v>
      </c>
      <c r="N36" s="83">
        <f t="shared" si="8"/>
        <v>1.0000000000000009E-2</v>
      </c>
    </row>
    <row r="37" spans="7:14" x14ac:dyDescent="0.25">
      <c r="G37" s="89">
        <f t="shared" si="4"/>
        <v>1.1000000000000001</v>
      </c>
      <c r="H37" s="83">
        <f t="shared" ref="H37:J38" si="11">H36</f>
        <v>1.85</v>
      </c>
      <c r="I37" s="83">
        <f t="shared" si="11"/>
        <v>1.1500000000000001</v>
      </c>
      <c r="J37" s="83">
        <f t="shared" si="11"/>
        <v>1</v>
      </c>
      <c r="L37" s="83">
        <f t="shared" si="6"/>
        <v>2</v>
      </c>
      <c r="M37" s="83">
        <f t="shared" si="7"/>
        <v>1.98</v>
      </c>
      <c r="N37" s="83">
        <f t="shared" si="8"/>
        <v>2.0000000000000018E-2</v>
      </c>
    </row>
    <row r="38" spans="7:14" x14ac:dyDescent="0.25">
      <c r="G38" s="89">
        <f t="shared" si="4"/>
        <v>1.2</v>
      </c>
      <c r="H38" s="83">
        <f t="shared" si="11"/>
        <v>1.85</v>
      </c>
      <c r="I38" s="83">
        <f t="shared" si="11"/>
        <v>1.1500000000000001</v>
      </c>
      <c r="J38" s="83">
        <f t="shared" si="11"/>
        <v>1</v>
      </c>
      <c r="L38" s="83">
        <f t="shared" si="6"/>
        <v>1.4</v>
      </c>
      <c r="M38" s="83">
        <f t="shared" si="7"/>
        <v>1.44</v>
      </c>
      <c r="N38" s="83">
        <f t="shared" si="8"/>
        <v>-4.0000000000000036E-2</v>
      </c>
    </row>
    <row r="39" spans="7:14" x14ac:dyDescent="0.25">
      <c r="G39" s="89"/>
    </row>
    <row r="40" spans="7:14" x14ac:dyDescent="0.25">
      <c r="G40" s="89"/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9"/>
  <sheetViews>
    <sheetView topLeftCell="A61" zoomScale="70" zoomScaleNormal="70" workbookViewId="0">
      <selection activeCell="A98" sqref="A98"/>
    </sheetView>
  </sheetViews>
  <sheetFormatPr defaultColWidth="11" defaultRowHeight="15.75" x14ac:dyDescent="0.25"/>
  <cols>
    <col min="1" max="1" width="21.125" bestFit="1" customWidth="1"/>
    <col min="12" max="12" width="12.125" bestFit="1" customWidth="1"/>
    <col min="18" max="18" width="13" bestFit="1" customWidth="1"/>
    <col min="20" max="20" width="12.125" bestFit="1" customWidth="1"/>
  </cols>
  <sheetData>
    <row r="1" spans="1:21" ht="18.75" x14ac:dyDescent="0.3">
      <c r="A1" s="2" t="s">
        <v>6</v>
      </c>
      <c r="H1" s="137" t="s">
        <v>72</v>
      </c>
      <c r="I1" s="123"/>
      <c r="J1" s="123"/>
      <c r="K1" s="123"/>
      <c r="L1" s="123"/>
      <c r="M1" s="123"/>
      <c r="N1" s="124"/>
      <c r="O1" s="121"/>
      <c r="P1" s="122" t="s">
        <v>75</v>
      </c>
      <c r="Q1" s="123"/>
      <c r="R1" s="123"/>
      <c r="S1" s="124"/>
    </row>
    <row r="2" spans="1:21" x14ac:dyDescent="0.25">
      <c r="H2" s="125"/>
      <c r="I2" s="28"/>
      <c r="J2" s="28"/>
      <c r="K2" s="28"/>
      <c r="L2" s="28"/>
      <c r="M2" s="28"/>
      <c r="N2" s="126"/>
      <c r="O2" s="125"/>
      <c r="P2" s="28"/>
      <c r="Q2" s="28"/>
      <c r="R2" s="28"/>
      <c r="S2" s="126"/>
      <c r="U2" t="s">
        <v>126</v>
      </c>
    </row>
    <row r="3" spans="1:21" x14ac:dyDescent="0.25">
      <c r="A3" s="1" t="s">
        <v>69</v>
      </c>
      <c r="H3" s="125">
        <f>'2. Finansiering'!A6</f>
        <v>0</v>
      </c>
      <c r="I3" s="28"/>
      <c r="J3" s="28"/>
      <c r="K3" s="28" t="s">
        <v>73</v>
      </c>
      <c r="L3" s="28" t="s">
        <v>5</v>
      </c>
      <c r="M3" s="28" t="s">
        <v>113</v>
      </c>
      <c r="N3" s="126"/>
      <c r="O3" s="125"/>
      <c r="P3" s="28"/>
      <c r="Q3" s="28"/>
      <c r="R3" s="28"/>
      <c r="S3" s="126"/>
    </row>
    <row r="4" spans="1:21" x14ac:dyDescent="0.25">
      <c r="A4" s="83"/>
      <c r="B4" s="84">
        <v>0.08</v>
      </c>
      <c r="C4" s="84">
        <v>0.39</v>
      </c>
      <c r="D4" s="84">
        <v>0.4</v>
      </c>
      <c r="H4" s="125" t="str">
        <f>'2. Finansiering'!A7</f>
        <v>Realkredit: (til fordeling)</v>
      </c>
      <c r="I4" s="28"/>
      <c r="J4" s="28"/>
      <c r="K4" s="28"/>
      <c r="L4" s="28"/>
      <c r="M4" s="28"/>
      <c r="N4" s="126"/>
      <c r="O4" s="125"/>
      <c r="P4" s="28" t="s">
        <v>2</v>
      </c>
      <c r="Q4" s="28">
        <f>'1. Balance'!G10</f>
        <v>12500000</v>
      </c>
      <c r="R4" s="28">
        <f>'1. Balance'!I10</f>
        <v>22500000</v>
      </c>
      <c r="S4" s="126"/>
    </row>
    <row r="5" spans="1:21" ht="16.5" thickBot="1" x14ac:dyDescent="0.3">
      <c r="A5" s="85" t="s">
        <v>66</v>
      </c>
      <c r="B5" s="86">
        <v>0.6</v>
      </c>
      <c r="C5" s="86">
        <v>0.25</v>
      </c>
      <c r="D5" s="86">
        <v>0.2</v>
      </c>
      <c r="H5" s="125" t="str">
        <f>'2. Finansiering'!A8</f>
        <v>Fast forrentet med afdrag</v>
      </c>
      <c r="I5" s="28"/>
      <c r="J5" s="28"/>
      <c r="K5" s="28">
        <f>'2. Finansiering'!B8*'2. Finansiering'!G8</f>
        <v>144500</v>
      </c>
      <c r="L5" s="28">
        <f>'2. Finansiering'!D8*'2. Finansiering'!I8</f>
        <v>149343.1130270274</v>
      </c>
      <c r="M5" s="28">
        <f>L5-K5</f>
        <v>4843.1130270274007</v>
      </c>
      <c r="N5" s="126"/>
      <c r="O5" s="125"/>
      <c r="P5" s="28" t="s">
        <v>76</v>
      </c>
      <c r="Q5" s="28">
        <f>'1. Balance'!G16</f>
        <v>500000</v>
      </c>
      <c r="R5" s="28">
        <f>'1. Balance'!I16</f>
        <v>500000</v>
      </c>
      <c r="S5" s="126"/>
    </row>
    <row r="6" spans="1:21" x14ac:dyDescent="0.25">
      <c r="A6" s="88">
        <f>'2. Finansiering'!B56</f>
        <v>0.46666666666666667</v>
      </c>
      <c r="B6" s="87">
        <f>EXP(A6)*$B$5+$B$4</f>
        <v>1.0368018549369893</v>
      </c>
      <c r="C6" s="87">
        <f>EXP(A6)*$C$5+$C$4</f>
        <v>0.78866743955707896</v>
      </c>
      <c r="D6" s="87">
        <f>EXP(A6)*$D$5+$D$4</f>
        <v>0.71893395164566321</v>
      </c>
      <c r="H6" s="125" t="str">
        <f>'2. Finansiering'!A9</f>
        <v>Fast forrentet uden afdrag</v>
      </c>
      <c r="I6" s="28"/>
      <c r="J6" s="28"/>
      <c r="K6" s="28">
        <f>'2. Finansiering'!B9*'2. Finansiering'!G9</f>
        <v>148000</v>
      </c>
      <c r="L6" s="28">
        <f>'2. Finansiering'!D9*'2. Finansiering'!I9</f>
        <v>152843.1130270274</v>
      </c>
      <c r="M6" s="28">
        <f t="shared" ref="M6:M14" si="0">L6-K6</f>
        <v>4843.1130270274007</v>
      </c>
      <c r="N6" s="126"/>
      <c r="O6" s="125"/>
      <c r="P6" s="28" t="s">
        <v>77</v>
      </c>
      <c r="Q6" s="28">
        <f>'1. Balance'!G11+'1. Balance'!G12+'1. Balance'!G13+'1. Balance'!G17+'1. Balance'!G20</f>
        <v>1000000</v>
      </c>
      <c r="R6" s="28">
        <f>'1. Balance'!I11+'1. Balance'!I12+'1. Balance'!I13+'1. Balance'!I17+'1. Balance'!I20</f>
        <v>1000000</v>
      </c>
      <c r="S6" s="126"/>
    </row>
    <row r="7" spans="1:21" x14ac:dyDescent="0.25">
      <c r="A7" t="s">
        <v>78</v>
      </c>
      <c r="B7" t="s">
        <v>70</v>
      </c>
      <c r="C7" t="s">
        <v>65</v>
      </c>
      <c r="D7" t="s">
        <v>71</v>
      </c>
      <c r="H7" s="125" t="str">
        <f>'2. Finansiering'!A10</f>
        <v>Variabelt forrentet med afdrag</v>
      </c>
      <c r="I7" s="28"/>
      <c r="J7" s="28"/>
      <c r="K7" s="28">
        <f>'2. Finansiering'!B10*'2. Finansiering'!G10</f>
        <v>13750</v>
      </c>
      <c r="L7" s="28">
        <f>'2. Finansiering'!D10*'2. Finansiering'!I10</f>
        <v>16171.556513513706</v>
      </c>
      <c r="M7" s="28">
        <f t="shared" si="0"/>
        <v>2421.5565135137058</v>
      </c>
      <c r="N7" s="126"/>
      <c r="O7" s="125"/>
      <c r="P7" s="28" t="s">
        <v>3</v>
      </c>
      <c r="Q7" s="28">
        <f>'1. Balance'!G22</f>
        <v>3500000</v>
      </c>
      <c r="R7" s="28">
        <f>'1. Balance'!I22</f>
        <v>3500000</v>
      </c>
      <c r="S7" s="126"/>
    </row>
    <row r="8" spans="1:21" x14ac:dyDescent="0.25">
      <c r="H8" s="125" t="str">
        <f>'2. Finansiering'!A11</f>
        <v>Variabel forrentet med afdragsfrihed</v>
      </c>
      <c r="I8" s="28"/>
      <c r="J8" s="28"/>
      <c r="K8" s="28">
        <f>'2. Finansiering'!B11*'2. Finansiering'!G11</f>
        <v>0</v>
      </c>
      <c r="L8" s="28">
        <f>'2. Finansiering'!D11*'2. Finansiering'!I11</f>
        <v>0</v>
      </c>
      <c r="M8" s="28">
        <f t="shared" si="0"/>
        <v>0</v>
      </c>
      <c r="N8" s="126"/>
      <c r="O8" s="125"/>
      <c r="P8" s="28" t="s">
        <v>4</v>
      </c>
      <c r="Q8" s="28">
        <f>'1. Balance'!G24</f>
        <v>12500000</v>
      </c>
      <c r="R8" s="28">
        <f>'1. Balance'!I24</f>
        <v>12500000</v>
      </c>
      <c r="S8" s="126"/>
    </row>
    <row r="9" spans="1:21" x14ac:dyDescent="0.25">
      <c r="A9" s="1" t="s">
        <v>5</v>
      </c>
      <c r="H9" s="125" t="str">
        <f>'2. Finansiering'!A12</f>
        <v>Div andre realkredit</v>
      </c>
      <c r="I9" s="28"/>
      <c r="J9" s="28"/>
      <c r="K9" s="28">
        <f>'2. Finansiering'!B12*'2. Finansiering'!G12</f>
        <v>0</v>
      </c>
      <c r="L9" s="28">
        <f>'2. Finansiering'!D12*'2. Finansiering'!I12</f>
        <v>0</v>
      </c>
      <c r="M9" s="28">
        <f t="shared" si="0"/>
        <v>0</v>
      </c>
      <c r="N9" s="126"/>
      <c r="O9" s="125"/>
      <c r="P9" s="28"/>
      <c r="Q9" s="28">
        <f>SUM(Q4:Q8)</f>
        <v>30000000</v>
      </c>
      <c r="R9" s="28">
        <f>SUM(R4:R8)</f>
        <v>40000000</v>
      </c>
      <c r="S9" s="126"/>
    </row>
    <row r="10" spans="1:21" x14ac:dyDescent="0.25">
      <c r="A10" s="83"/>
      <c r="B10" s="84">
        <v>0.08</v>
      </c>
      <c r="C10" s="84">
        <v>0.39</v>
      </c>
      <c r="D10" s="84">
        <v>0.4</v>
      </c>
      <c r="H10" s="125" t="str">
        <f>'2. Finansiering'!A13</f>
        <v>1 årig rentetilpasning (F1)</v>
      </c>
      <c r="I10" s="28"/>
      <c r="J10" s="28"/>
      <c r="K10" s="28">
        <f>'2. Finansiering'!B13*'2. Finansiering'!G13</f>
        <v>0</v>
      </c>
      <c r="L10" s="28">
        <f>'2. Finansiering'!D13*'2. Finansiering'!I13</f>
        <v>64686.226054054823</v>
      </c>
      <c r="M10" s="28">
        <f t="shared" ref="M10:M12" si="1">L10-K10</f>
        <v>64686.226054054823</v>
      </c>
      <c r="N10" s="126"/>
      <c r="O10" s="125"/>
      <c r="P10" s="28"/>
      <c r="Q10" s="28"/>
      <c r="R10" s="28"/>
      <c r="S10" s="126"/>
    </row>
    <row r="11" spans="1:21" ht="16.5" thickBot="1" x14ac:dyDescent="0.3">
      <c r="A11" s="85" t="s">
        <v>66</v>
      </c>
      <c r="B11" s="86">
        <v>0.6</v>
      </c>
      <c r="C11" s="86">
        <v>0.25</v>
      </c>
      <c r="D11" s="86">
        <v>0.2</v>
      </c>
      <c r="H11" s="125" t="str">
        <f>'2. Finansiering'!A14</f>
        <v>--Nyt lån--</v>
      </c>
      <c r="I11" s="28"/>
      <c r="J11" s="28"/>
      <c r="K11" s="28">
        <f>'2. Finansiering'!B14*'2. Finansiering'!G14</f>
        <v>0</v>
      </c>
      <c r="L11" s="28">
        <f>'2. Finansiering'!D14*'2. Finansiering'!I14</f>
        <v>0</v>
      </c>
      <c r="M11" s="28">
        <f t="shared" si="1"/>
        <v>0</v>
      </c>
      <c r="N11" s="126"/>
      <c r="O11" s="125"/>
      <c r="P11" s="28"/>
      <c r="Q11" s="28"/>
      <c r="R11" s="28"/>
      <c r="S11" s="126"/>
    </row>
    <row r="12" spans="1:21" x14ac:dyDescent="0.25">
      <c r="A12" s="88">
        <f>'2. Finansiering'!D56</f>
        <v>0.6</v>
      </c>
      <c r="B12" s="87">
        <f>EXP(A12)*$B$11+$B$10</f>
        <v>1.1732712802343053</v>
      </c>
      <c r="C12" s="87">
        <f>EXP(A12)*$C$11+$C$10</f>
        <v>0.84552970009762718</v>
      </c>
      <c r="D12" s="87">
        <f>EXP(A12)*$D$11+$D$10</f>
        <v>0.76442376007810187</v>
      </c>
      <c r="H12" s="125" t="str">
        <f>'2. Finansiering'!A15</f>
        <v>--Nyt lån--</v>
      </c>
      <c r="I12" s="28"/>
      <c r="J12" s="28"/>
      <c r="K12" s="28">
        <f>'2. Finansiering'!B15*'2. Finansiering'!G15</f>
        <v>0</v>
      </c>
      <c r="L12" s="28">
        <f>'2. Finansiering'!D15*'2. Finansiering'!I15</f>
        <v>0</v>
      </c>
      <c r="M12" s="28">
        <f t="shared" si="1"/>
        <v>0</v>
      </c>
      <c r="N12" s="126"/>
      <c r="O12" s="125"/>
      <c r="P12" s="28"/>
      <c r="Q12" s="28"/>
      <c r="R12" s="28"/>
      <c r="S12" s="126"/>
    </row>
    <row r="13" spans="1:21" x14ac:dyDescent="0.25">
      <c r="A13" t="s">
        <v>78</v>
      </c>
      <c r="B13" t="s">
        <v>70</v>
      </c>
      <c r="C13" t="s">
        <v>65</v>
      </c>
      <c r="D13" t="s">
        <v>71</v>
      </c>
      <c r="H13" s="125">
        <f>'2. Finansiering'!A16</f>
        <v>0</v>
      </c>
      <c r="I13" s="28"/>
      <c r="J13" s="28"/>
      <c r="K13" s="28">
        <f>'2. Finansiering'!B16*'2. Finansiering'!G16</f>
        <v>0</v>
      </c>
      <c r="L13" s="28">
        <f>'2. Finansiering'!D16*'2. Finansiering'!I16</f>
        <v>0</v>
      </c>
      <c r="M13" s="28">
        <f t="shared" si="0"/>
        <v>0</v>
      </c>
      <c r="N13" s="126"/>
      <c r="O13" s="127"/>
      <c r="P13" s="128"/>
      <c r="Q13" s="128"/>
      <c r="R13" s="128"/>
      <c r="S13" s="129"/>
    </row>
    <row r="14" spans="1:21" x14ac:dyDescent="0.25">
      <c r="H14" s="125" t="str">
        <f>'2. Finansiering'!A17</f>
        <v>Pante- og gældsbreve</v>
      </c>
      <c r="I14" s="28"/>
      <c r="J14" s="28"/>
      <c r="K14" s="28">
        <f>'2. Finansiering'!B17*'2. Finansiering'!G17</f>
        <v>0</v>
      </c>
      <c r="L14" s="28">
        <f>'2. Finansiering'!D17*'2. Finansiering'!I17</f>
        <v>0</v>
      </c>
      <c r="M14" s="28">
        <f t="shared" si="0"/>
        <v>0</v>
      </c>
      <c r="N14" s="126"/>
    </row>
    <row r="15" spans="1:21" x14ac:dyDescent="0.25">
      <c r="A15" s="1" t="s">
        <v>130</v>
      </c>
      <c r="B15" t="s">
        <v>73</v>
      </c>
      <c r="H15" s="125" t="str">
        <f>'2. Finansiering'!A18</f>
        <v xml:space="preserve"> (med sikkerhedsstillelse)</v>
      </c>
      <c r="I15" s="28"/>
      <c r="J15" s="28"/>
      <c r="K15" s="28">
        <f>'2. Finansiering'!B18*'2. Finansiering'!G18</f>
        <v>0</v>
      </c>
      <c r="L15" s="28">
        <f>'2. Finansiering'!D18*'2. Finansiering'!I18</f>
        <v>0</v>
      </c>
      <c r="M15" s="28"/>
      <c r="N15" s="126"/>
    </row>
    <row r="16" spans="1:21" x14ac:dyDescent="0.25">
      <c r="A16" t="s">
        <v>70</v>
      </c>
      <c r="B16" s="82">
        <f>IF('2. Finansiering'!B58="Dårlig", Beregninger!B6, 0)</f>
        <v>0</v>
      </c>
      <c r="C16" s="82">
        <f>IF('2. Finansiering'!D58="Dårlig", Beregninger!B12, 0)</f>
        <v>0</v>
      </c>
      <c r="D16" s="82"/>
      <c r="H16" s="125">
        <f>'2. Finansiering'!A19</f>
        <v>0</v>
      </c>
      <c r="I16" s="28"/>
      <c r="J16" s="28"/>
      <c r="K16" s="28">
        <f>'2. Finansiering'!B19*'2. Finansiering'!G19</f>
        <v>0</v>
      </c>
      <c r="L16" s="28">
        <f>'2. Finansiering'!D19*'2. Finansiering'!I19</f>
        <v>0</v>
      </c>
      <c r="M16" s="28"/>
      <c r="N16" s="126"/>
    </row>
    <row r="17" spans="1:25" x14ac:dyDescent="0.25">
      <c r="A17" t="s">
        <v>65</v>
      </c>
      <c r="B17" s="82">
        <f>IF('2. Finansiering'!B58="Middel", C6, 0)</f>
        <v>0.78866743955707896</v>
      </c>
      <c r="C17" s="82">
        <f>IF('2. Finansiering'!D58="Middel", Beregninger!C12, 0)</f>
        <v>0.84552970009762718</v>
      </c>
      <c r="H17" s="125" t="str">
        <f>'2. Finansiering'!A20</f>
        <v>Anden langfristet gæld</v>
      </c>
      <c r="I17" s="28"/>
      <c r="J17" s="28"/>
      <c r="K17" s="28">
        <f>'2. Finansiering'!B20*'2. Finansiering'!G20</f>
        <v>0</v>
      </c>
      <c r="L17" s="28">
        <f>'2. Finansiering'!D20*'2. Finansiering'!I20</f>
        <v>0</v>
      </c>
      <c r="M17" s="28"/>
      <c r="N17" s="126"/>
    </row>
    <row r="18" spans="1:25" x14ac:dyDescent="0.25">
      <c r="A18" t="s">
        <v>71</v>
      </c>
      <c r="B18" s="161">
        <f>IF('2. Finansiering'!B58="God", D6, 0)</f>
        <v>0</v>
      </c>
      <c r="C18" s="82">
        <f>IF('2. Finansiering'!D58="God", Beregninger!D12, 0)</f>
        <v>0</v>
      </c>
      <c r="D18" s="162" t="s">
        <v>132</v>
      </c>
      <c r="H18" s="125" t="str">
        <f>'2. Finansiering'!A21</f>
        <v>Maskingæld</v>
      </c>
      <c r="I18" s="28"/>
      <c r="J18" s="28"/>
      <c r="K18" s="28">
        <f>'2. Finansiering'!B21*'2. Finansiering'!G21</f>
        <v>0</v>
      </c>
      <c r="L18" s="28">
        <f>'2. Finansiering'!D21*'2. Finansiering'!I21</f>
        <v>0</v>
      </c>
      <c r="M18" s="28">
        <f>L18-K18</f>
        <v>0</v>
      </c>
      <c r="N18" s="126"/>
      <c r="P18" s="1" t="s">
        <v>81</v>
      </c>
      <c r="R18" t="s">
        <v>85</v>
      </c>
      <c r="T18" s="1" t="s">
        <v>87</v>
      </c>
    </row>
    <row r="19" spans="1:25" x14ac:dyDescent="0.25">
      <c r="A19" t="s">
        <v>131</v>
      </c>
      <c r="B19" s="82">
        <f>SUM(B16:B18)</f>
        <v>0.78866743955707896</v>
      </c>
      <c r="C19" s="82">
        <f>SUM(C16:C18)</f>
        <v>0.84552970009762718</v>
      </c>
      <c r="D19" s="205">
        <f>C19-B19</f>
        <v>5.6862260540548215E-2</v>
      </c>
      <c r="H19" s="125" t="str">
        <f>'2. Finansiering'!A22</f>
        <v>Div andre lån med sikkerhed</v>
      </c>
      <c r="I19" s="28"/>
      <c r="J19" s="28"/>
      <c r="K19" s="28">
        <f>'2. Finansiering'!B22*'2. Finansiering'!G22</f>
        <v>0</v>
      </c>
      <c r="L19" s="28">
        <f>'2. Finansiering'!D22*'2. Finansiering'!I22</f>
        <v>0</v>
      </c>
      <c r="M19" s="28">
        <f>L19-K19</f>
        <v>0</v>
      </c>
      <c r="N19" s="126"/>
    </row>
    <row r="20" spans="1:25" x14ac:dyDescent="0.25">
      <c r="H20" s="125">
        <f>'2. Finansiering'!A23</f>
        <v>0</v>
      </c>
      <c r="I20" s="28"/>
      <c r="J20" s="28"/>
      <c r="K20" s="28"/>
      <c r="L20" s="28"/>
      <c r="M20" s="28"/>
      <c r="N20" s="126"/>
      <c r="P20" t="s">
        <v>62</v>
      </c>
      <c r="R20" s="120">
        <f>'2. Finansiering'!C60</f>
        <v>0.22</v>
      </c>
      <c r="T20" s="120">
        <v>0</v>
      </c>
      <c r="U20" s="120">
        <v>0.22</v>
      </c>
      <c r="V20" s="120">
        <v>0.4</v>
      </c>
      <c r="W20" s="120">
        <v>0.56000000000000005</v>
      </c>
    </row>
    <row r="21" spans="1:25" ht="18.75" x14ac:dyDescent="0.3">
      <c r="A21" s="137" t="s">
        <v>101</v>
      </c>
      <c r="B21" s="123"/>
      <c r="C21" s="123"/>
      <c r="D21" s="123"/>
      <c r="E21" s="123"/>
      <c r="F21" s="124"/>
      <c r="H21" s="125" t="str">
        <f>'2. Finansiering'!A24</f>
        <v>Pengeinsitutter (til fordeling)</v>
      </c>
      <c r="I21" s="28"/>
      <c r="J21" s="28"/>
      <c r="K21" s="28">
        <f>'2. Finansiering'!B24*'2. Finansiering'!G24</f>
        <v>0</v>
      </c>
      <c r="L21" s="28">
        <f>'2. Finansiering'!D24*'2. Finansiering'!I24</f>
        <v>0</v>
      </c>
      <c r="M21" s="28"/>
      <c r="N21" s="126"/>
      <c r="P21" t="s">
        <v>82</v>
      </c>
      <c r="R21" s="130">
        <f>'2. Finansiering'!C63</f>
        <v>1.4999999999999999E-2</v>
      </c>
    </row>
    <row r="22" spans="1:25" x14ac:dyDescent="0.25">
      <c r="A22" s="125" t="s">
        <v>100</v>
      </c>
      <c r="B22" s="28" t="s">
        <v>99</v>
      </c>
      <c r="C22" s="28"/>
      <c r="D22" s="28"/>
      <c r="E22" s="28"/>
      <c r="F22" s="126"/>
      <c r="H22" s="125" t="str">
        <f>'2. Finansiering'!A25</f>
        <v>Banklån med afdrag</v>
      </c>
      <c r="I22" s="28"/>
      <c r="J22" s="28"/>
      <c r="K22" s="28">
        <f>'2. Finansiering'!B25*'2. Finansiering'!G25</f>
        <v>0</v>
      </c>
      <c r="L22" s="28">
        <f>'2. Finansiering'!D25*'2. Finansiering'!I25</f>
        <v>0</v>
      </c>
      <c r="M22" s="28">
        <f>L22-K22</f>
        <v>0</v>
      </c>
      <c r="N22" s="126"/>
      <c r="P22" t="s">
        <v>80</v>
      </c>
      <c r="R22" s="130">
        <f>'2. Finansiering'!I49</f>
        <v>8.2645745268828411E-2</v>
      </c>
    </row>
    <row r="23" spans="1:25" x14ac:dyDescent="0.25">
      <c r="A23" s="125"/>
      <c r="B23" s="28"/>
      <c r="C23" s="121">
        <v>30</v>
      </c>
      <c r="D23" s="123">
        <v>20</v>
      </c>
      <c r="E23" s="123">
        <v>10</v>
      </c>
      <c r="F23" s="173">
        <v>5</v>
      </c>
      <c r="H23" s="125" t="str">
        <f>'2. Finansiering'!A26</f>
        <v>Banklån uden afdrag</v>
      </c>
      <c r="I23" s="28"/>
      <c r="J23" s="28"/>
      <c r="K23" s="28">
        <f>'2. Finansiering'!B26*'2. Finansiering'!G26</f>
        <v>0</v>
      </c>
      <c r="L23" s="28">
        <f>'2. Finansiering'!D26*'2. Finansiering'!I26</f>
        <v>0</v>
      </c>
      <c r="M23" s="28">
        <f>L23-K23</f>
        <v>0</v>
      </c>
      <c r="N23" s="126"/>
      <c r="P23" t="s">
        <v>6</v>
      </c>
      <c r="R23" s="130">
        <f>'2. Finansiering'!I7</f>
        <v>7.4686226054054821E-3</v>
      </c>
    </row>
    <row r="24" spans="1:25" x14ac:dyDescent="0.25">
      <c r="A24" s="165" t="s">
        <v>139</v>
      </c>
      <c r="B24" s="28"/>
      <c r="C24" s="125"/>
      <c r="D24" s="28"/>
      <c r="E24" s="28"/>
      <c r="F24" s="126"/>
      <c r="H24" s="125" t="str">
        <f>'2. Finansiering'!A27</f>
        <v>Kassekredit</v>
      </c>
      <c r="I24" s="28"/>
      <c r="J24" s="28"/>
      <c r="K24" s="28">
        <f>'2. Finansiering'!B27*'2. Finansiering'!G27</f>
        <v>22500</v>
      </c>
      <c r="L24" s="28">
        <f>'2. Finansiering'!D27*'2. Finansiering'!I27</f>
        <v>23469.091720281365</v>
      </c>
      <c r="M24" s="28">
        <f>L24-K24</f>
        <v>969.09172028136527</v>
      </c>
      <c r="N24" s="126"/>
      <c r="R24" s="130"/>
      <c r="T24">
        <f>($R$20-T20)*$F$47/(1-$R$20)</f>
        <v>51480</v>
      </c>
      <c r="U24">
        <f>($R$20-U20)*$F$47/(1-$R$20)</f>
        <v>0</v>
      </c>
      <c r="V24">
        <f>($R$20-V20)*$F$47/(1-$R$20)</f>
        <v>-42120.000000000007</v>
      </c>
      <c r="W24">
        <f>($R$20-W20)*$F$47/(1-$R$20)</f>
        <v>-79560.000000000015</v>
      </c>
      <c r="Y24" t="s">
        <v>175</v>
      </c>
    </row>
    <row r="25" spans="1:25" x14ac:dyDescent="0.25">
      <c r="A25" s="164" t="s">
        <v>133</v>
      </c>
      <c r="B25" s="163">
        <f>B26+0.07%</f>
        <v>2.3099999999999999E-2</v>
      </c>
      <c r="C25" s="125"/>
      <c r="D25" s="183" t="s">
        <v>145</v>
      </c>
      <c r="E25" s="28"/>
      <c r="F25" s="126"/>
      <c r="H25" s="125" t="str">
        <f>'2. Finansiering'!A28</f>
        <v>Andre banklån</v>
      </c>
      <c r="I25" s="28"/>
      <c r="J25" s="28"/>
      <c r="K25" s="28">
        <f>'2. Finansiering'!B28*'2. Finansiering'!G28</f>
        <v>0</v>
      </c>
      <c r="L25" s="28">
        <f>'2. Finansiering'!D28*'2. Finansiering'!I28</f>
        <v>0</v>
      </c>
      <c r="M25" s="28">
        <f>L25-K25</f>
        <v>0</v>
      </c>
      <c r="N25" s="126"/>
      <c r="S25">
        <f>(((1+'2. Finansiering'!H7)^6)-1)*'2. Finansiering'!D49</f>
        <v>72822.840846609179</v>
      </c>
      <c r="T25">
        <f>$S$25*($R$20-T20)</f>
        <v>16021.024986254019</v>
      </c>
      <c r="U25">
        <f t="shared" ref="U25:W25" si="2">$S$25*($R$20-U20)</f>
        <v>0</v>
      </c>
      <c r="V25">
        <f t="shared" si="2"/>
        <v>-13108.111352389653</v>
      </c>
      <c r="W25">
        <f t="shared" si="2"/>
        <v>-24759.765887847127</v>
      </c>
      <c r="Y25" t="s">
        <v>176</v>
      </c>
    </row>
    <row r="26" spans="1:25" x14ac:dyDescent="0.25">
      <c r="A26" s="164" t="s">
        <v>134</v>
      </c>
      <c r="B26" s="163">
        <v>2.24E-2</v>
      </c>
      <c r="C26" s="140"/>
      <c r="D26" s="135"/>
      <c r="E26" s="135"/>
      <c r="F26" s="136"/>
      <c r="H26" s="125" t="str">
        <f>'2. Finansiering'!A29</f>
        <v>--Nyt lån--</v>
      </c>
      <c r="I26" s="28"/>
      <c r="J26" s="28"/>
      <c r="K26" s="28">
        <f>'2. Finansiering'!B29*'2. Finansiering'!G29</f>
        <v>0</v>
      </c>
      <c r="L26" s="28">
        <f>'2. Finansiering'!D29*'2. Finansiering'!I29</f>
        <v>0</v>
      </c>
      <c r="M26" s="28">
        <f>L26-K26</f>
        <v>0</v>
      </c>
      <c r="N26" s="126"/>
    </row>
    <row r="27" spans="1:25" x14ac:dyDescent="0.25">
      <c r="A27" s="168" t="s">
        <v>135</v>
      </c>
      <c r="B27" s="163">
        <v>1.8100000000000002E-2</v>
      </c>
      <c r="C27" s="140">
        <f>($B$26-B27)*(1-$R$20)</f>
        <v>3.3539999999999989E-3</v>
      </c>
      <c r="D27" s="135"/>
      <c r="E27" s="135"/>
      <c r="F27" s="136"/>
      <c r="H27" s="125"/>
      <c r="I27" s="28"/>
      <c r="J27" s="28"/>
      <c r="K27" s="28"/>
      <c r="L27" s="28"/>
      <c r="M27" s="28"/>
      <c r="N27" s="126"/>
      <c r="P27" t="s">
        <v>171</v>
      </c>
      <c r="R27" s="130">
        <f>L58</f>
        <v>3.84585941188514E-2</v>
      </c>
      <c r="S27" s="130"/>
      <c r="T27" s="130">
        <f>$R$27</f>
        <v>3.84585941188514E-2</v>
      </c>
      <c r="U27" s="130">
        <f>$R$27</f>
        <v>3.84585941188514E-2</v>
      </c>
      <c r="V27" s="130">
        <f>$R$27</f>
        <v>3.84585941188514E-2</v>
      </c>
      <c r="W27" s="130">
        <f>$R$27</f>
        <v>3.84585941188514E-2</v>
      </c>
    </row>
    <row r="28" spans="1:25" x14ac:dyDescent="0.25">
      <c r="A28" s="168" t="s">
        <v>136</v>
      </c>
      <c r="B28" s="163">
        <v>0.01</v>
      </c>
      <c r="C28" s="140">
        <f t="shared" ref="C28:C30" si="3">($B$26-B28)*(1-$R$20)</f>
        <v>9.672E-3</v>
      </c>
      <c r="D28" s="135">
        <f>($B$27-B28)*(1-$R$20)</f>
        <v>6.3180000000000016E-3</v>
      </c>
      <c r="E28" s="135"/>
      <c r="F28" s="136"/>
      <c r="H28" s="125" t="str">
        <f>'2. Finansiering'!A31</f>
        <v>Gæld udenfor landbrug</v>
      </c>
      <c r="I28" s="28"/>
      <c r="J28" s="28"/>
      <c r="K28" s="28">
        <f>'2. Finansiering'!B31*'2. Finansiering'!G31</f>
        <v>0</v>
      </c>
      <c r="L28" s="28">
        <f>'2. Finansiering'!D31*'2. Finansiering'!I31</f>
        <v>0</v>
      </c>
      <c r="M28" s="28"/>
      <c r="N28" s="126"/>
      <c r="R28" s="130"/>
      <c r="S28" s="130"/>
      <c r="T28" s="130"/>
      <c r="U28" s="130"/>
      <c r="V28" s="130"/>
      <c r="W28" s="130"/>
    </row>
    <row r="29" spans="1:25" x14ac:dyDescent="0.25">
      <c r="A29" s="168" t="s">
        <v>137</v>
      </c>
      <c r="B29" s="163">
        <v>2.5000000000000001E-3</v>
      </c>
      <c r="C29" s="140">
        <f t="shared" si="3"/>
        <v>1.5522000000000001E-2</v>
      </c>
      <c r="D29" s="135">
        <f t="shared" ref="D29:D30" si="4">($B$27-B29)*(1-$R$20)</f>
        <v>1.2168000000000002E-2</v>
      </c>
      <c r="E29" s="135">
        <f>($B$28-B29)*(1-$R$20)</f>
        <v>5.8500000000000002E-3</v>
      </c>
      <c r="F29" s="136"/>
      <c r="H29" s="125">
        <f>'2. Finansiering'!A32</f>
        <v>0</v>
      </c>
      <c r="I29" s="28"/>
      <c r="J29" s="28"/>
      <c r="K29" s="28">
        <f>'2. Finansiering'!B32*'2. Finansiering'!G32</f>
        <v>0</v>
      </c>
      <c r="L29" s="28">
        <f>'2. Finansiering'!D32*'2. Finansiering'!I32</f>
        <v>0</v>
      </c>
      <c r="M29" s="28"/>
      <c r="N29" s="126"/>
      <c r="P29" t="s">
        <v>172</v>
      </c>
      <c r="R29" s="130">
        <f>M60</f>
        <v>2.9997703412704101E-2</v>
      </c>
      <c r="S29" s="130"/>
      <c r="T29" s="130">
        <f>$R$27*(1-T20)</f>
        <v>3.84585941188514E-2</v>
      </c>
      <c r="U29" s="130">
        <f>R29</f>
        <v>2.9997703412704101E-2</v>
      </c>
      <c r="V29" s="130">
        <f>N60</f>
        <v>2.307515647131084E-2</v>
      </c>
      <c r="W29" s="130">
        <f>O60</f>
        <v>1.6921781412294615E-2</v>
      </c>
    </row>
    <row r="30" spans="1:25" x14ac:dyDescent="0.25">
      <c r="A30" s="168" t="s">
        <v>138</v>
      </c>
      <c r="B30" s="163">
        <v>-1E-3</v>
      </c>
      <c r="C30" s="141">
        <f t="shared" si="3"/>
        <v>1.8252000000000001E-2</v>
      </c>
      <c r="D30" s="138">
        <f t="shared" si="4"/>
        <v>1.4898000000000002E-2</v>
      </c>
      <c r="E30" s="138">
        <f>($B$28-B30)*(1-$R$20)</f>
        <v>8.5799999999999991E-3</v>
      </c>
      <c r="F30" s="139">
        <f>(B29-B30)*(1-R20)</f>
        <v>2.7300000000000002E-3</v>
      </c>
      <c r="H30" s="125" t="str">
        <f>'2. Finansiering'!A33</f>
        <v>Anden gæld</v>
      </c>
      <c r="I30" s="28"/>
      <c r="J30" s="28"/>
      <c r="K30" s="28">
        <f>'2. Finansiering'!B33*'2. Finansiering'!G33</f>
        <v>0</v>
      </c>
      <c r="L30" s="28">
        <f>'2. Finansiering'!D33*'2. Finansiering'!I33</f>
        <v>0</v>
      </c>
      <c r="M30" s="28">
        <f>L30-K30</f>
        <v>0</v>
      </c>
      <c r="N30" s="126"/>
      <c r="R30" s="130"/>
      <c r="S30" s="130"/>
      <c r="T30" s="130"/>
      <c r="U30" s="130"/>
      <c r="V30" s="130"/>
      <c r="W30" s="130"/>
    </row>
    <row r="31" spans="1:25" x14ac:dyDescent="0.25">
      <c r="A31" s="127"/>
      <c r="B31" s="128"/>
      <c r="C31" s="128"/>
      <c r="D31" s="128"/>
      <c r="E31" s="128"/>
      <c r="F31" s="129"/>
      <c r="H31" s="125" t="str">
        <f>'2. Finansiering'!A34</f>
        <v>Leverandører</v>
      </c>
      <c r="I31" s="28"/>
      <c r="J31" s="28"/>
      <c r="K31" s="28">
        <f>'2. Finansiering'!B34*'2. Finansiering'!G34</f>
        <v>0</v>
      </c>
      <c r="L31" s="28">
        <f>'2. Finansiering'!D34*'2. Finansiering'!I34</f>
        <v>0</v>
      </c>
      <c r="M31" s="28"/>
      <c r="N31" s="126"/>
      <c r="P31" t="s">
        <v>93</v>
      </c>
      <c r="R31" s="130">
        <f>((1+R29)/(1+$R$21))-1</f>
        <v>1.4776062475570617E-2</v>
      </c>
      <c r="S31" s="130"/>
      <c r="T31" s="130">
        <f>((1+T29)/(1+$R$21))-1</f>
        <v>2.3111915388031035E-2</v>
      </c>
      <c r="U31" s="130">
        <f>((1+U29)/(1+$R$21))-1</f>
        <v>1.4776062475570617E-2</v>
      </c>
      <c r="V31" s="130">
        <f>((1+V29)/(1+$R$21))-1</f>
        <v>7.9558191835575887E-3</v>
      </c>
      <c r="W31" s="130">
        <f>((1+W29)/(1+$R$21))-1</f>
        <v>1.8933807017682547E-3</v>
      </c>
    </row>
    <row r="32" spans="1:25" x14ac:dyDescent="0.25">
      <c r="H32" s="125" t="str">
        <f>'2. Finansiering'!A35</f>
        <v>Moms og afgifter</v>
      </c>
      <c r="I32" s="28"/>
      <c r="J32" s="28"/>
      <c r="K32" s="28">
        <f>'2. Finansiering'!B35*'2. Finansiering'!G35</f>
        <v>0</v>
      </c>
      <c r="L32" s="28">
        <f>'2. Finansiering'!D35*'2. Finansiering'!I35</f>
        <v>0</v>
      </c>
      <c r="M32" s="28">
        <f>L32-K32</f>
        <v>0</v>
      </c>
      <c r="N32" s="126"/>
    </row>
    <row r="33" spans="1:30" x14ac:dyDescent="0.25">
      <c r="H33" s="125" t="str">
        <f>'2. Finansiering'!A36</f>
        <v>Øvrige</v>
      </c>
      <c r="I33" s="28"/>
      <c r="J33" s="28"/>
      <c r="K33" s="28">
        <f>'2. Finansiering'!B36*'2. Finansiering'!G36</f>
        <v>0</v>
      </c>
      <c r="L33" s="28">
        <f>'2. Finansiering'!D36*'2. Finansiering'!I36</f>
        <v>0</v>
      </c>
      <c r="M33" s="28">
        <f>L33-K33</f>
        <v>0</v>
      </c>
      <c r="N33" s="126"/>
    </row>
    <row r="34" spans="1:30" x14ac:dyDescent="0.25">
      <c r="A34" s="134" t="s">
        <v>98</v>
      </c>
      <c r="B34" s="123"/>
      <c r="C34" s="123"/>
      <c r="D34" s="123"/>
      <c r="E34" s="123"/>
      <c r="F34" s="124"/>
      <c r="H34" s="125">
        <f>'2. Finansiering'!A37</f>
        <v>0</v>
      </c>
      <c r="I34" s="28"/>
      <c r="J34" s="28"/>
      <c r="K34" s="28">
        <f>'2. Finansiering'!B37*'2. Finansiering'!G37</f>
        <v>0</v>
      </c>
      <c r="L34" s="28">
        <f>'2. Finansiering'!D37*'2. Finansiering'!I37</f>
        <v>0</v>
      </c>
      <c r="M34" s="28">
        <f>L34-K34</f>
        <v>0</v>
      </c>
      <c r="N34" s="126"/>
      <c r="T34" s="1" t="s">
        <v>82</v>
      </c>
    </row>
    <row r="35" spans="1:30" x14ac:dyDescent="0.25">
      <c r="A35" s="125"/>
      <c r="B35" s="28" t="s">
        <v>102</v>
      </c>
      <c r="C35" s="28" t="s">
        <v>103</v>
      </c>
      <c r="D35" s="28" t="s">
        <v>104</v>
      </c>
      <c r="E35" s="28" t="s">
        <v>147</v>
      </c>
      <c r="F35" s="126"/>
      <c r="H35" s="125" t="str">
        <f>'2. Finansiering'!A38</f>
        <v>Langfristet gæld uden sikkerhed:</v>
      </c>
      <c r="I35" s="28"/>
      <c r="J35" s="28"/>
      <c r="K35" s="28">
        <f>'2. Finansiering'!B38*'2. Finansiering'!G38</f>
        <v>0</v>
      </c>
      <c r="L35" s="28">
        <f>'2. Finansiering'!D38*'2. Finansiering'!I38</f>
        <v>0</v>
      </c>
      <c r="M35" s="28">
        <f>L35-K35</f>
        <v>0</v>
      </c>
      <c r="N35" s="126"/>
    </row>
    <row r="36" spans="1:30" x14ac:dyDescent="0.25">
      <c r="A36" s="125" t="s">
        <v>105</v>
      </c>
      <c r="B36" s="28">
        <f>'1. Balance'!C10</f>
        <v>10000000</v>
      </c>
      <c r="C36" s="28"/>
      <c r="D36" s="28"/>
      <c r="E36" s="28"/>
      <c r="F36" s="126"/>
      <c r="H36" s="125" t="str">
        <f>'2. Finansiering'!A39</f>
        <v>Pantebreve uden sikkerhed</v>
      </c>
      <c r="I36" s="28"/>
      <c r="J36" s="28"/>
      <c r="K36" s="28">
        <f>'2. Finansiering'!B39*'2. Finansiering'!G39</f>
        <v>0</v>
      </c>
      <c r="L36" s="28">
        <f>'2. Finansiering'!D39*'2. Finansiering'!I39</f>
        <v>0</v>
      </c>
      <c r="M36" s="28"/>
      <c r="N36" s="126"/>
      <c r="R36" t="s">
        <v>92</v>
      </c>
      <c r="T36" s="130">
        <v>5.0000000000000001E-3</v>
      </c>
      <c r="U36" s="130">
        <v>7.0000000000000001E-3</v>
      </c>
      <c r="V36" s="130">
        <v>8.9999999999999993E-3</v>
      </c>
      <c r="W36" s="130">
        <v>1.0999999999999999E-2</v>
      </c>
      <c r="X36" s="130">
        <v>1.2999999999999999E-2</v>
      </c>
      <c r="Y36" s="130">
        <v>1.4999999999999999E-2</v>
      </c>
      <c r="Z36" s="130">
        <v>1.7000000000000001E-2</v>
      </c>
      <c r="AA36" s="130">
        <v>1.9E-2</v>
      </c>
      <c r="AB36" s="130">
        <v>2.1000000000000001E-2</v>
      </c>
      <c r="AC36" s="130">
        <v>2.3E-2</v>
      </c>
      <c r="AD36" s="130">
        <v>2.5000000000000001E-2</v>
      </c>
    </row>
    <row r="37" spans="1:30" x14ac:dyDescent="0.25">
      <c r="A37" s="125" t="s">
        <v>106</v>
      </c>
      <c r="B37" s="28"/>
      <c r="C37" s="28">
        <f>'1. Balance'!C11+'1. Balance'!C12</f>
        <v>0</v>
      </c>
      <c r="D37" s="28"/>
      <c r="E37" s="28"/>
      <c r="F37" s="126"/>
      <c r="H37" s="125" t="str">
        <f>'2. Finansiering'!A40</f>
        <v>Div andre lån uden sikkerhed</v>
      </c>
      <c r="I37" s="28"/>
      <c r="J37" s="28"/>
      <c r="K37" s="28">
        <f>'2. Finansiering'!B40*'2. Finansiering'!G40</f>
        <v>0</v>
      </c>
      <c r="L37" s="28">
        <f>'2. Finansiering'!D40*'2. Finansiering'!I40</f>
        <v>0</v>
      </c>
      <c r="M37" s="28"/>
      <c r="N37" s="126"/>
      <c r="T37" s="130"/>
      <c r="U37" s="130"/>
      <c r="V37" s="130"/>
      <c r="W37" s="130"/>
    </row>
    <row r="38" spans="1:30" x14ac:dyDescent="0.25">
      <c r="A38" s="125" t="s">
        <v>107</v>
      </c>
      <c r="B38" s="28"/>
      <c r="C38" s="28"/>
      <c r="D38" s="28">
        <f>'1. Balance'!C13</f>
        <v>0</v>
      </c>
      <c r="E38" s="28"/>
      <c r="F38" s="126"/>
      <c r="H38" s="125" t="str">
        <f>'2. Finansiering'!A41</f>
        <v>Vækstlån</v>
      </c>
      <c r="I38" s="28"/>
      <c r="J38" s="28"/>
      <c r="K38" s="28">
        <f>'2. Finansiering'!B41*'2. Finansiering'!G41</f>
        <v>0</v>
      </c>
      <c r="L38" s="28">
        <f>'2. Finansiering'!D41*'2. Finansiering'!I41</f>
        <v>0</v>
      </c>
      <c r="M38" s="28">
        <f t="shared" ref="M38:M46" si="5">L38-K38</f>
        <v>0</v>
      </c>
      <c r="N38" s="126"/>
      <c r="P38" t="s">
        <v>171</v>
      </c>
      <c r="T38" s="130">
        <f t="shared" ref="T38:AD38" si="6">$R$27</f>
        <v>3.84585941188514E-2</v>
      </c>
      <c r="U38" s="130">
        <f t="shared" si="6"/>
        <v>3.84585941188514E-2</v>
      </c>
      <c r="V38" s="130">
        <f t="shared" si="6"/>
        <v>3.84585941188514E-2</v>
      </c>
      <c r="W38" s="130">
        <f t="shared" si="6"/>
        <v>3.84585941188514E-2</v>
      </c>
      <c r="X38" s="130">
        <f t="shared" si="6"/>
        <v>3.84585941188514E-2</v>
      </c>
      <c r="Y38" s="130">
        <f t="shared" si="6"/>
        <v>3.84585941188514E-2</v>
      </c>
      <c r="Z38" s="130">
        <f t="shared" si="6"/>
        <v>3.84585941188514E-2</v>
      </c>
      <c r="AA38" s="130">
        <f t="shared" si="6"/>
        <v>3.84585941188514E-2</v>
      </c>
      <c r="AB38" s="130">
        <f t="shared" si="6"/>
        <v>3.84585941188514E-2</v>
      </c>
      <c r="AC38" s="130">
        <f t="shared" si="6"/>
        <v>3.84585941188514E-2</v>
      </c>
      <c r="AD38" s="130">
        <f t="shared" si="6"/>
        <v>3.84585941188514E-2</v>
      </c>
    </row>
    <row r="39" spans="1:30" x14ac:dyDescent="0.25">
      <c r="A39" s="125" t="s">
        <v>108</v>
      </c>
      <c r="B39" s="28"/>
      <c r="C39" s="28"/>
      <c r="D39" s="28">
        <f>'1. Balance'!C14-'2. Finansiering'!C21</f>
        <v>0</v>
      </c>
      <c r="E39" s="28"/>
      <c r="F39" s="126"/>
      <c r="H39" s="125" t="str">
        <f>'2. Finansiering'!A42</f>
        <v>Etableringslån (ansvarlig lån)</v>
      </c>
      <c r="I39" s="28"/>
      <c r="J39" s="28"/>
      <c r="K39" s="28">
        <f>'2. Finansiering'!B42*'2. Finansiering'!G42</f>
        <v>0</v>
      </c>
      <c r="L39" s="28">
        <f>'2. Finansiering'!D42*'2. Finansiering'!I42</f>
        <v>0</v>
      </c>
      <c r="M39" s="28">
        <f t="shared" si="5"/>
        <v>0</v>
      </c>
      <c r="N39" s="126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</row>
    <row r="40" spans="1:30" x14ac:dyDescent="0.25">
      <c r="A40" s="125" t="s">
        <v>109</v>
      </c>
      <c r="B40" s="28"/>
      <c r="C40" s="28"/>
      <c r="D40" s="28">
        <f>'1. Balance'!C15</f>
        <v>0</v>
      </c>
      <c r="E40" s="28"/>
      <c r="F40" s="126"/>
      <c r="H40" s="125" t="str">
        <f>'2. Finansiering'!A43</f>
        <v>Dansk landbrugskapital (ansvarlig lån)</v>
      </c>
      <c r="I40" s="28"/>
      <c r="J40" s="28"/>
      <c r="K40" s="28">
        <f>'2. Finansiering'!B43*'2. Finansiering'!G43</f>
        <v>0</v>
      </c>
      <c r="L40" s="28">
        <f>'2. Finansiering'!D43*'2. Finansiering'!I43</f>
        <v>0</v>
      </c>
      <c r="M40" s="28">
        <f t="shared" si="5"/>
        <v>0</v>
      </c>
      <c r="N40" s="126"/>
      <c r="P40" t="s">
        <v>172</v>
      </c>
      <c r="T40" s="130">
        <f t="shared" ref="T40:AD40" si="7">$R$29</f>
        <v>2.9997703412704101E-2</v>
      </c>
      <c r="U40" s="130">
        <f t="shared" si="7"/>
        <v>2.9997703412704101E-2</v>
      </c>
      <c r="V40" s="130">
        <f t="shared" si="7"/>
        <v>2.9997703412704101E-2</v>
      </c>
      <c r="W40" s="130">
        <f t="shared" si="7"/>
        <v>2.9997703412704101E-2</v>
      </c>
      <c r="X40" s="130">
        <f t="shared" si="7"/>
        <v>2.9997703412704101E-2</v>
      </c>
      <c r="Y40" s="130">
        <f t="shared" si="7"/>
        <v>2.9997703412704101E-2</v>
      </c>
      <c r="Z40" s="130">
        <f t="shared" si="7"/>
        <v>2.9997703412704101E-2</v>
      </c>
      <c r="AA40" s="130">
        <f t="shared" si="7"/>
        <v>2.9997703412704101E-2</v>
      </c>
      <c r="AB40" s="130">
        <f t="shared" si="7"/>
        <v>2.9997703412704101E-2</v>
      </c>
      <c r="AC40" s="130">
        <f t="shared" si="7"/>
        <v>2.9997703412704101E-2</v>
      </c>
      <c r="AD40" s="130">
        <f t="shared" si="7"/>
        <v>2.9997703412704101E-2</v>
      </c>
    </row>
    <row r="41" spans="1:30" x14ac:dyDescent="0.25">
      <c r="A41" s="125"/>
      <c r="B41" s="28"/>
      <c r="C41" s="28"/>
      <c r="D41" s="28"/>
      <c r="E41" s="28"/>
      <c r="F41" s="126"/>
      <c r="H41" s="125">
        <f>'2. Finansiering'!A44</f>
        <v>0</v>
      </c>
      <c r="I41" s="28"/>
      <c r="J41" s="28"/>
      <c r="K41" s="28">
        <f>'2. Finansiering'!B44*'2. Finansiering'!G44</f>
        <v>0</v>
      </c>
      <c r="L41" s="28">
        <f>'2. Finansiering'!D44*'2. Finansiering'!I44</f>
        <v>0</v>
      </c>
      <c r="M41" s="28">
        <f t="shared" si="5"/>
        <v>0</v>
      </c>
      <c r="N41" s="126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</row>
    <row r="42" spans="1:30" x14ac:dyDescent="0.25">
      <c r="A42" s="125" t="s">
        <v>141</v>
      </c>
      <c r="B42" s="26">
        <f>-(IF('2. Finansiering'!A13="30 årig fastforrentet uden afdrag",'2. Finansiering'!C13,0)+IF('2. Finansiering'!A13="30 årig fastforrentet med afdrag",'2. Finansiering'!C13,0))</f>
        <v>0</v>
      </c>
      <c r="C42" s="26">
        <f>-(IF('2. Finansiering'!A13="20 årig fastforrentet med afdrag",'2. Finansiering'!C13,0))</f>
        <v>0</v>
      </c>
      <c r="D42" s="26">
        <f>-(IF('2. Finansiering'!A13="10 årig fastforrentet med afdrag",'2. Finansiering'!C13,0))</f>
        <v>0</v>
      </c>
      <c r="E42" s="26">
        <f>-(IF('2. Finansiering'!A13="5 årig rentetilpasning (F5)",'2. Finansiering'!C13,0))</f>
        <v>0</v>
      </c>
      <c r="F42" s="126"/>
      <c r="H42" s="125" t="str">
        <f>'2. Finansiering'!A45</f>
        <v>Gæld i alt</v>
      </c>
      <c r="I42" s="28"/>
      <c r="J42" s="28"/>
      <c r="K42" s="28">
        <f>'2. Finansiering'!B45*'2. Finansiering'!G45</f>
        <v>0</v>
      </c>
      <c r="L42" s="28">
        <f>'2. Finansiering'!D45*'2. Finansiering'!I45</f>
        <v>0</v>
      </c>
      <c r="M42" s="28">
        <f t="shared" si="5"/>
        <v>0</v>
      </c>
      <c r="N42" s="126"/>
      <c r="P42" t="s">
        <v>93</v>
      </c>
      <c r="T42" s="130">
        <f t="shared" ref="T42:AD42" si="8">((1+T40)/(1+T36))-1</f>
        <v>2.4873336729059004E-2</v>
      </c>
      <c r="U42" s="130">
        <f t="shared" si="8"/>
        <v>2.2837838542903999E-2</v>
      </c>
      <c r="V42" s="130">
        <f t="shared" si="8"/>
        <v>2.0810409725177559E-2</v>
      </c>
      <c r="W42" s="130">
        <f t="shared" si="8"/>
        <v>1.8791002386453259E-2</v>
      </c>
      <c r="X42" s="130">
        <f t="shared" si="8"/>
        <v>1.6779569015502593E-2</v>
      </c>
      <c r="Y42" s="130">
        <f t="shared" si="8"/>
        <v>1.4776062475570617E-2</v>
      </c>
      <c r="Z42" s="130">
        <f t="shared" si="8"/>
        <v>1.2780436000692452E-2</v>
      </c>
      <c r="AA42" s="130">
        <f t="shared" si="8"/>
        <v>1.0792643192055085E-2</v>
      </c>
      <c r="AB42" s="130">
        <f t="shared" si="8"/>
        <v>8.8126380144017968E-3</v>
      </c>
      <c r="AC42" s="130">
        <f t="shared" si="8"/>
        <v>6.8403747924772329E-3</v>
      </c>
      <c r="AD42" s="130">
        <f t="shared" si="8"/>
        <v>4.8758082075162079E-3</v>
      </c>
    </row>
    <row r="43" spans="1:30" x14ac:dyDescent="0.25">
      <c r="A43" s="125" t="s">
        <v>143</v>
      </c>
      <c r="B43" s="26">
        <f>IF('2. Finansiering'!A14="30 årig fastforrentet uden afdrag",'2. Finansiering'!C14,0)+IF('2. Finansiering'!A14="30 årig fastforrentet med afdrag",'2. Finansiering'!C14,0)</f>
        <v>0</v>
      </c>
      <c r="C43" s="26">
        <f>-(IF('2. Finansiering'!A14="20 årig fastforrentet med afdrag",'2. Finansiering'!C14,0))</f>
        <v>0</v>
      </c>
      <c r="D43" s="26">
        <f>-(IF('2. Finansiering'!A14="10 årig fastforrentet med afdrag",'2. Finansiering'!C14,0))</f>
        <v>0</v>
      </c>
      <c r="E43" s="26">
        <f>-(IF('2. Finansiering'!A14="5 årig rentetilpasning (F5)",'2. Finansiering'!C14,0))</f>
        <v>0</v>
      </c>
      <c r="F43" s="126"/>
      <c r="H43" s="125">
        <f>'2. Finansiering'!A46</f>
        <v>0</v>
      </c>
      <c r="I43" s="28"/>
      <c r="J43" s="28"/>
      <c r="K43" s="28">
        <f>'2. Finansiering'!B46*'2. Finansiering'!G46</f>
        <v>0</v>
      </c>
      <c r="L43" s="28">
        <f>'2. Finansiering'!D46*'2. Finansiering'!I46</f>
        <v>0</v>
      </c>
      <c r="M43" s="28">
        <f t="shared" si="5"/>
        <v>0</v>
      </c>
      <c r="N43" s="126"/>
      <c r="T43" s="130"/>
      <c r="U43" s="130"/>
      <c r="V43" s="130"/>
      <c r="W43" s="130"/>
    </row>
    <row r="44" spans="1:30" x14ac:dyDescent="0.25">
      <c r="A44" s="125" t="s">
        <v>144</v>
      </c>
      <c r="B44" s="26">
        <f>IF('2. Finansiering'!A15="30 årig fastforrentet uden afdrag",'2. Finansiering'!C15,0)+IF('2. Finansiering'!A15="30 årig fastforrentet med afdrag",'2. Finansiering'!C15,0)</f>
        <v>0</v>
      </c>
      <c r="C44" s="26">
        <f>-(IF('2. Finansiering'!A15="20 årig fastforrentet med afdrag",'2. Finansiering'!C15,0))</f>
        <v>0</v>
      </c>
      <c r="D44" s="26">
        <f>-(IF('2. Finansiering'!A15="10 årig fastforrentet med afdrag",'2. Finansiering'!C15,0))</f>
        <v>0</v>
      </c>
      <c r="E44" s="26">
        <f>-(IF('2. Finansiering'!A15="5 årig rentetilpasning (F5)",'2. Finansiering'!C15,0))</f>
        <v>0</v>
      </c>
      <c r="F44" s="126"/>
      <c r="H44" s="125" t="str">
        <f>'2. Finansiering'!A47</f>
        <v>Hensættelser</v>
      </c>
      <c r="I44" s="28"/>
      <c r="J44" s="28"/>
      <c r="K44" s="28">
        <f>'2. Finansiering'!B47*'2. Finansiering'!G47</f>
        <v>0</v>
      </c>
      <c r="L44" s="28">
        <f>'2. Finansiering'!D47*'2. Finansiering'!I47</f>
        <v>0</v>
      </c>
      <c r="M44" s="28">
        <f t="shared" si="5"/>
        <v>0</v>
      </c>
      <c r="N44" s="126"/>
    </row>
    <row r="45" spans="1:30" x14ac:dyDescent="0.25">
      <c r="A45" s="125" t="s">
        <v>74</v>
      </c>
      <c r="B45" s="28">
        <f>SUM(B36:B44)</f>
        <v>10000000</v>
      </c>
      <c r="C45" s="28">
        <f t="shared" ref="C45:E45" si="9">SUM(C36:C44)</f>
        <v>0</v>
      </c>
      <c r="D45" s="28">
        <f t="shared" si="9"/>
        <v>0</v>
      </c>
      <c r="E45" s="28">
        <f t="shared" si="9"/>
        <v>0</v>
      </c>
      <c r="F45" s="126"/>
      <c r="H45" s="125">
        <f>'2. Finansiering'!A48</f>
        <v>0</v>
      </c>
      <c r="I45" s="28"/>
      <c r="J45" s="28"/>
      <c r="K45" s="28">
        <f>'2. Finansiering'!B48*'2. Finansiering'!G48</f>
        <v>0</v>
      </c>
      <c r="L45" s="28">
        <f>'2. Finansiering'!D48*'2. Finansiering'!I48</f>
        <v>0</v>
      </c>
      <c r="M45" s="28">
        <f t="shared" si="5"/>
        <v>0</v>
      </c>
      <c r="N45" s="126"/>
      <c r="T45" s="1" t="s">
        <v>88</v>
      </c>
    </row>
    <row r="46" spans="1:30" x14ac:dyDescent="0.25">
      <c r="A46" s="125" t="s">
        <v>111</v>
      </c>
      <c r="B46" s="135">
        <f>C30</f>
        <v>1.8252000000000001E-2</v>
      </c>
      <c r="C46" s="135">
        <f>D30</f>
        <v>1.4898000000000002E-2</v>
      </c>
      <c r="D46" s="135">
        <f>E30</f>
        <v>8.5799999999999991E-3</v>
      </c>
      <c r="E46" s="135">
        <f>F30</f>
        <v>2.7300000000000002E-3</v>
      </c>
      <c r="F46" s="184" t="s">
        <v>74</v>
      </c>
      <c r="H46" s="125" t="str">
        <f>'2. Finansiering'!A49</f>
        <v>Egenkapital</v>
      </c>
      <c r="K46" s="28">
        <f>'2. Finansiering'!B49*'2. Finansiering'!G49/(1-R20)</f>
        <v>1017628.2051282051</v>
      </c>
      <c r="L46" s="28">
        <f>'2. Finansiering'!D49*'2. Finansiering'!I49/(1-R20)</f>
        <v>1324451.0459748143</v>
      </c>
      <c r="M46" s="28">
        <f t="shared" si="5"/>
        <v>306822.84084660921</v>
      </c>
      <c r="N46" s="126"/>
    </row>
    <row r="47" spans="1:30" x14ac:dyDescent="0.25">
      <c r="A47" s="125" t="s">
        <v>110</v>
      </c>
      <c r="B47" s="28">
        <f>B45*B46</f>
        <v>182520</v>
      </c>
      <c r="C47" s="28">
        <f>C45*C46</f>
        <v>0</v>
      </c>
      <c r="D47" s="28">
        <f>D45*D46</f>
        <v>0</v>
      </c>
      <c r="E47" s="28">
        <f>E45*E46</f>
        <v>0</v>
      </c>
      <c r="F47" s="126">
        <f>SUM(B47:E47)</f>
        <v>182520</v>
      </c>
      <c r="S47" t="s">
        <v>89</v>
      </c>
      <c r="T47" s="130">
        <v>-0.05</v>
      </c>
      <c r="U47" s="130">
        <v>-0.04</v>
      </c>
      <c r="V47" s="130">
        <v>-0.03</v>
      </c>
      <c r="W47" s="130">
        <v>-0.02</v>
      </c>
      <c r="X47" s="130">
        <v>-0.01</v>
      </c>
      <c r="Y47" s="130">
        <v>0</v>
      </c>
      <c r="Z47" s="130">
        <v>0.01</v>
      </c>
      <c r="AA47" s="130">
        <v>0.02</v>
      </c>
      <c r="AB47" s="130">
        <v>0.03</v>
      </c>
      <c r="AC47" s="130">
        <v>0.04</v>
      </c>
      <c r="AD47" s="130">
        <v>0.05</v>
      </c>
    </row>
    <row r="48" spans="1:30" x14ac:dyDescent="0.25">
      <c r="A48" s="186" t="s">
        <v>112</v>
      </c>
      <c r="B48" s="128"/>
      <c r="C48" s="128"/>
      <c r="D48" s="128"/>
      <c r="E48" s="128"/>
      <c r="F48" s="185">
        <f>F47/'2. Finansiering'!D49</f>
        <v>1.4601599999999999E-2</v>
      </c>
      <c r="H48" t="s">
        <v>74</v>
      </c>
      <c r="K48">
        <f>SUM(K5:K46)</f>
        <v>1346378.205128205</v>
      </c>
      <c r="L48">
        <f>SUM(L5:L46)</f>
        <v>1730964.146316719</v>
      </c>
      <c r="M48">
        <f>L48-K48</f>
        <v>384585.941188514</v>
      </c>
      <c r="N48" s="126"/>
      <c r="P48" t="s">
        <v>90</v>
      </c>
      <c r="T48" s="119">
        <f>T47*'1. Balance'!$I$24</f>
        <v>-625000</v>
      </c>
      <c r="U48" s="119">
        <f>U47*'1. Balance'!$I$24</f>
        <v>-500000</v>
      </c>
      <c r="V48" s="119">
        <f>V47*'1. Balance'!$I$24</f>
        <v>-375000</v>
      </c>
      <c r="W48" s="119">
        <f>W47*'1. Balance'!$I$24</f>
        <v>-250000</v>
      </c>
      <c r="X48" s="119">
        <f>X47*'1. Balance'!$I$24</f>
        <v>-125000</v>
      </c>
      <c r="Y48" s="119">
        <f>Y47*'1. Balance'!$I$24</f>
        <v>0</v>
      </c>
      <c r="Z48" s="119">
        <f>Z47*'1. Balance'!$I$24</f>
        <v>125000</v>
      </c>
      <c r="AA48" s="119">
        <f>AA47*'1. Balance'!$I$24</f>
        <v>250000</v>
      </c>
      <c r="AB48" s="119">
        <f>AB47*'1. Balance'!$I$24</f>
        <v>375000</v>
      </c>
      <c r="AC48" s="119">
        <f>AC47*'1. Balance'!$I$24</f>
        <v>500000</v>
      </c>
      <c r="AD48" s="119">
        <f>AD47*'1. Balance'!$I$24</f>
        <v>625000</v>
      </c>
    </row>
    <row r="49" spans="1:30" x14ac:dyDescent="0.25">
      <c r="A49" s="28"/>
      <c r="B49" s="28"/>
      <c r="C49" s="28"/>
      <c r="D49" s="28"/>
      <c r="E49" s="28"/>
      <c r="F49" s="135"/>
      <c r="K49" s="23"/>
      <c r="L49" s="23"/>
      <c r="N49" s="126"/>
    </row>
    <row r="50" spans="1:30" x14ac:dyDescent="0.25">
      <c r="H50" t="s">
        <v>178</v>
      </c>
      <c r="K50">
        <f>K46*(1-R20)</f>
        <v>793750</v>
      </c>
      <c r="L50">
        <f>L46*(1-R20)</f>
        <v>1033071.8158603553</v>
      </c>
      <c r="M50">
        <f>L50-K50</f>
        <v>239321.81586035527</v>
      </c>
      <c r="N50" s="126">
        <f>M50/(1-R20)*(1-V20)</f>
        <v>184093.70450796559</v>
      </c>
      <c r="O50" s="126">
        <f>M50/(1-R20)*(1-W20)</f>
        <v>135002.04997250807</v>
      </c>
      <c r="P50" t="s">
        <v>171</v>
      </c>
      <c r="T50" s="130">
        <f t="shared" ref="T50:AD50" si="10">(T48+$M$48)/$L$55</f>
        <v>-2.40414058811486E-2</v>
      </c>
      <c r="U50" s="130">
        <f t="shared" si="10"/>
        <v>-1.15414058811486E-2</v>
      </c>
      <c r="V50" s="130">
        <f t="shared" si="10"/>
        <v>9.5859411885139997E-4</v>
      </c>
      <c r="W50" s="130">
        <f t="shared" si="10"/>
        <v>1.34585941188514E-2</v>
      </c>
      <c r="X50" s="130">
        <f t="shared" si="10"/>
        <v>2.5958594118851399E-2</v>
      </c>
      <c r="Y50" s="130">
        <f t="shared" si="10"/>
        <v>3.84585941188514E-2</v>
      </c>
      <c r="Z50" s="130">
        <f t="shared" si="10"/>
        <v>5.0958594118851397E-2</v>
      </c>
      <c r="AA50" s="130">
        <f t="shared" si="10"/>
        <v>6.3458594118851394E-2</v>
      </c>
      <c r="AB50" s="130">
        <f t="shared" si="10"/>
        <v>7.5958594118851405E-2</v>
      </c>
      <c r="AC50" s="130">
        <f t="shared" si="10"/>
        <v>8.8458594118851402E-2</v>
      </c>
      <c r="AD50" s="130">
        <f t="shared" si="10"/>
        <v>0.1009585941188514</v>
      </c>
    </row>
    <row r="51" spans="1:30" x14ac:dyDescent="0.25">
      <c r="H51" t="s">
        <v>127</v>
      </c>
      <c r="K51">
        <f>SUM(K5:K41)</f>
        <v>328750</v>
      </c>
      <c r="L51">
        <f>SUM(L5:L41)</f>
        <v>406513.10034190468</v>
      </c>
      <c r="M51">
        <f>L51-K51</f>
        <v>77763.100341904676</v>
      </c>
      <c r="N51" s="126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</row>
    <row r="52" spans="1:30" x14ac:dyDescent="0.25">
      <c r="A52" s="171" t="s">
        <v>140</v>
      </c>
      <c r="B52" s="172"/>
      <c r="C52" s="172"/>
      <c r="D52" s="172"/>
      <c r="E52" s="173"/>
      <c r="H52" s="145" t="s">
        <v>96</v>
      </c>
      <c r="K52">
        <f>K51*$R$20</f>
        <v>72325</v>
      </c>
      <c r="L52">
        <f>L51*$R$20</f>
        <v>89432.882075219022</v>
      </c>
      <c r="M52">
        <f>L52-K52</f>
        <v>17107.882075219022</v>
      </c>
      <c r="N52" s="126"/>
      <c r="P52" t="s">
        <v>172</v>
      </c>
      <c r="T52" s="130">
        <f t="shared" ref="T52:AD52" si="11">($M$48+T48-$M$52)/$L$55</f>
        <v>-2.5752194088670501E-2</v>
      </c>
      <c r="U52" s="130">
        <f t="shared" si="11"/>
        <v>-1.3252194088670502E-2</v>
      </c>
      <c r="V52" s="130">
        <f t="shared" si="11"/>
        <v>-7.5219408867050223E-4</v>
      </c>
      <c r="W52" s="130">
        <f t="shared" si="11"/>
        <v>1.1747805911329498E-2</v>
      </c>
      <c r="X52" s="130">
        <f t="shared" si="11"/>
        <v>2.4247805911329499E-2</v>
      </c>
      <c r="Y52" s="130">
        <f t="shared" si="11"/>
        <v>3.6747805911329499E-2</v>
      </c>
      <c r="Z52" s="130">
        <f t="shared" si="11"/>
        <v>4.9247805911329497E-2</v>
      </c>
      <c r="AA52" s="130">
        <f t="shared" si="11"/>
        <v>6.1747805911329494E-2</v>
      </c>
      <c r="AB52" s="130">
        <f t="shared" si="11"/>
        <v>7.4247805911329498E-2</v>
      </c>
      <c r="AC52" s="130">
        <f t="shared" si="11"/>
        <v>8.6747805911329495E-2</v>
      </c>
      <c r="AD52" s="130">
        <f t="shared" si="11"/>
        <v>9.9247805911329492E-2</v>
      </c>
    </row>
    <row r="53" spans="1:30" x14ac:dyDescent="0.25">
      <c r="A53" s="174"/>
      <c r="B53" s="26"/>
      <c r="C53" s="26" t="s">
        <v>141</v>
      </c>
      <c r="D53" s="26" t="s">
        <v>143</v>
      </c>
      <c r="E53" s="175" t="s">
        <v>144</v>
      </c>
      <c r="F53" s="26"/>
      <c r="H53" t="s">
        <v>128</v>
      </c>
      <c r="K53">
        <f>K51-K52</f>
        <v>256425</v>
      </c>
      <c r="L53">
        <f>L51-L52</f>
        <v>317080.21826668567</v>
      </c>
      <c r="M53">
        <f>L53-K53</f>
        <v>60655.218266685668</v>
      </c>
      <c r="N53" s="126">
        <f>M53/(1-R20)*(1-V20)</f>
        <v>46657.860205142824</v>
      </c>
      <c r="O53" s="126">
        <f>M53/(1-R20)*(1-W20)</f>
        <v>34215.764150438066</v>
      </c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</row>
    <row r="54" spans="1:30" x14ac:dyDescent="0.25">
      <c r="A54" s="176" t="s">
        <v>139</v>
      </c>
      <c r="B54" s="26"/>
      <c r="C54" s="26"/>
      <c r="D54" s="177"/>
      <c r="E54" s="175"/>
      <c r="F54" s="26"/>
      <c r="K54">
        <f>K50+K53</f>
        <v>1050175</v>
      </c>
      <c r="L54">
        <f>L50+L53</f>
        <v>1350152.034127041</v>
      </c>
      <c r="M54">
        <f>L54-K54</f>
        <v>299977.034127041</v>
      </c>
      <c r="N54" s="129"/>
      <c r="P54" t="s">
        <v>93</v>
      </c>
      <c r="T54" s="130">
        <f t="shared" ref="T54:AD54" si="12">((1+T52)/(1+$R$21))-1</f>
        <v>-4.0149944914946167E-2</v>
      </c>
      <c r="U54" s="130">
        <f t="shared" si="12"/>
        <v>-2.7834673978985647E-2</v>
      </c>
      <c r="V54" s="130">
        <f t="shared" si="12"/>
        <v>-1.5519403043025126E-2</v>
      </c>
      <c r="W54" s="130">
        <f t="shared" si="12"/>
        <v>-3.2041321070644946E-3</v>
      </c>
      <c r="X54" s="130">
        <f t="shared" si="12"/>
        <v>9.111138828896248E-3</v>
      </c>
      <c r="Y54" s="130">
        <f t="shared" si="12"/>
        <v>2.142640976485688E-2</v>
      </c>
      <c r="Z54" s="130">
        <f t="shared" si="12"/>
        <v>3.3741680700817289E-2</v>
      </c>
      <c r="AA54" s="130">
        <f t="shared" si="12"/>
        <v>4.6056951636777921E-2</v>
      </c>
      <c r="AB54" s="130">
        <f t="shared" si="12"/>
        <v>5.837222257273833E-2</v>
      </c>
      <c r="AC54" s="130">
        <f t="shared" si="12"/>
        <v>7.0687493508699184E-2</v>
      </c>
      <c r="AD54" s="130">
        <f t="shared" si="12"/>
        <v>8.3002764444659816E-2</v>
      </c>
    </row>
    <row r="55" spans="1:30" x14ac:dyDescent="0.25">
      <c r="A55" s="168" t="s">
        <v>133</v>
      </c>
      <c r="B55" s="177">
        <f>B25</f>
        <v>2.3099999999999999E-2</v>
      </c>
      <c r="C55" s="178">
        <f>IF('2. Finansiering'!A13="30 årig fastforrentet uden afdrag", $B55, )</f>
        <v>0</v>
      </c>
      <c r="D55" s="178">
        <f>IF('2. Finansiering'!A14="30 årig fastforrentet uden afdrag", $B55, )</f>
        <v>0</v>
      </c>
      <c r="E55" s="179">
        <f>IF('2. Finansiering'!A15="30 årig fastforrentet uden afdrag", $B55, )</f>
        <v>0</v>
      </c>
      <c r="F55" s="26"/>
      <c r="H55" t="s">
        <v>83</v>
      </c>
      <c r="L55">
        <f>'2. Finansiering'!C50</f>
        <v>10000000</v>
      </c>
      <c r="M55">
        <f>M50+M53</f>
        <v>299977.03412704094</v>
      </c>
      <c r="N55">
        <f>N50+N53</f>
        <v>230751.56471310841</v>
      </c>
      <c r="O55">
        <f>O50+O53</f>
        <v>169217.81412294615</v>
      </c>
    </row>
    <row r="56" spans="1:30" x14ac:dyDescent="0.25">
      <c r="A56" s="168" t="s">
        <v>134</v>
      </c>
      <c r="B56" s="177">
        <f t="shared" ref="B56:B60" si="13">B26</f>
        <v>2.24E-2</v>
      </c>
      <c r="C56" s="178">
        <f>IF('2. Finansiering'!A13="30 årig fastforrentet med afdrag", $B56, )</f>
        <v>0</v>
      </c>
      <c r="D56" s="178">
        <f>IF('2. Finansiering'!A14="30 årig fastforrentet med afdrag", $B56, )</f>
        <v>0</v>
      </c>
      <c r="E56" s="179">
        <f>IF('2. Finansiering'!A15="30 årig fastforrentet med afdrag", $B56, )</f>
        <v>0</v>
      </c>
      <c r="F56" s="178"/>
    </row>
    <row r="57" spans="1:30" x14ac:dyDescent="0.25">
      <c r="A57" s="168" t="s">
        <v>135</v>
      </c>
      <c r="B57" s="177">
        <f t="shared" si="13"/>
        <v>1.8100000000000002E-2</v>
      </c>
      <c r="C57" s="178">
        <f>IF('2. Finansiering'!A13="20 årig fastforrentet med afdrag", $B57, )</f>
        <v>0</v>
      </c>
      <c r="D57" s="178">
        <f>IF('2. Finansiering'!A14="20 årig fastforrentet med afdrag", $B57, )</f>
        <v>0</v>
      </c>
      <c r="E57" s="179">
        <f>IF('2. Finansiering'!A15="20 årig fastforrentet med afdrag", $B57, )</f>
        <v>0</v>
      </c>
      <c r="F57" s="178"/>
      <c r="T57" s="1" t="s">
        <v>6</v>
      </c>
    </row>
    <row r="58" spans="1:30" x14ac:dyDescent="0.25">
      <c r="A58" s="168" t="s">
        <v>146</v>
      </c>
      <c r="B58" s="177">
        <f t="shared" si="13"/>
        <v>0.01</v>
      </c>
      <c r="C58" s="178">
        <f>IF('2. Finansiering'!A13="10 årig fastforrentet med afdrag", $B58, )</f>
        <v>0</v>
      </c>
      <c r="D58" s="178">
        <f>IF('2. Finansiering'!A14="10 årig fastforrentet med afdrag", $B58, )</f>
        <v>0</v>
      </c>
      <c r="E58" s="179">
        <f>IF('2. Finansiering'!A15="10 årig fastforrentet med afdrag", $B58, )</f>
        <v>0</v>
      </c>
      <c r="F58" s="178"/>
      <c r="H58" t="s">
        <v>84</v>
      </c>
      <c r="L58">
        <f>M48/L55</f>
        <v>3.84585941188514E-2</v>
      </c>
    </row>
    <row r="59" spans="1:30" x14ac:dyDescent="0.25">
      <c r="A59" s="168" t="s">
        <v>137</v>
      </c>
      <c r="B59" s="177">
        <f t="shared" si="13"/>
        <v>2.5000000000000001E-3</v>
      </c>
      <c r="C59" s="178">
        <f>IF('2. Finansiering'!A13="5 årig rentetilpasning (F5)", $B59, )</f>
        <v>0</v>
      </c>
      <c r="D59" s="178">
        <f>IF('2. Finansiering'!A14="5 årig rentetilpasning (F5)", $B59, )</f>
        <v>0</v>
      </c>
      <c r="E59" s="179">
        <f>IF('2. Finansiering'!A15="5 årig rentetilpasning (F5)", $B59, )</f>
        <v>0</v>
      </c>
      <c r="F59" s="178"/>
    </row>
    <row r="60" spans="1:30" x14ac:dyDescent="0.25">
      <c r="A60" s="168" t="s">
        <v>138</v>
      </c>
      <c r="B60" s="177">
        <f t="shared" si="13"/>
        <v>-1E-3</v>
      </c>
      <c r="C60" s="178">
        <f>IF('2. Finansiering'!A13="1 årig rentetilpasning (F1)", $B60, )</f>
        <v>-1E-3</v>
      </c>
      <c r="D60" s="178">
        <f>IF('2. Finansiering'!A14="1 årig rentetilpasning (F1)", $B60, 0 )</f>
        <v>0</v>
      </c>
      <c r="E60" s="179">
        <f>IF('2. Finansiering'!A15="1 årig rentetilpasning (F1)", $B60, )</f>
        <v>0</v>
      </c>
      <c r="F60" s="178"/>
      <c r="H60" t="s">
        <v>86</v>
      </c>
      <c r="M60">
        <f>M54/L55</f>
        <v>2.9997703412704101E-2</v>
      </c>
      <c r="N60">
        <f>N55/L55</f>
        <v>2.307515647131084E-2</v>
      </c>
      <c r="O60">
        <f>O55/L55</f>
        <v>1.6921781412294615E-2</v>
      </c>
      <c r="S60" t="s">
        <v>89</v>
      </c>
      <c r="T60" s="130">
        <v>-5.0000000000000001E-3</v>
      </c>
      <c r="U60" s="130">
        <v>-4.0000000000000001E-3</v>
      </c>
      <c r="V60" s="130">
        <v>-3.0000000000000001E-3</v>
      </c>
      <c r="W60" s="130">
        <v>-2E-3</v>
      </c>
      <c r="X60" s="130">
        <v>-1E-3</v>
      </c>
      <c r="Y60" s="130">
        <v>0</v>
      </c>
      <c r="Z60" s="130">
        <v>1E-3</v>
      </c>
      <c r="AA60" s="130">
        <v>2E-3</v>
      </c>
      <c r="AB60" s="130">
        <v>3.0000000000000001E-3</v>
      </c>
      <c r="AC60" s="130">
        <v>4.0000000000000001E-3</v>
      </c>
      <c r="AD60" s="130">
        <v>5.0000000000000001E-3</v>
      </c>
    </row>
    <row r="61" spans="1:30" x14ac:dyDescent="0.25">
      <c r="A61" s="168"/>
      <c r="B61" s="177" t="s">
        <v>142</v>
      </c>
      <c r="C61" s="26">
        <f>SUM(C55:C60)</f>
        <v>-1E-3</v>
      </c>
      <c r="D61" s="26">
        <f t="shared" ref="D61:E61" si="14">SUM(D55:D60)</f>
        <v>0</v>
      </c>
      <c r="E61" s="175">
        <f t="shared" si="14"/>
        <v>0</v>
      </c>
      <c r="F61" s="178"/>
      <c r="P61" t="s">
        <v>91</v>
      </c>
      <c r="T61">
        <f>'1. Balance'!$I$10*Beregninger!T60</f>
        <v>-112500</v>
      </c>
      <c r="U61">
        <f>'1. Balance'!$I$10*Beregninger!U60</f>
        <v>-90000</v>
      </c>
      <c r="V61">
        <f>'1. Balance'!$I$10*Beregninger!V60</f>
        <v>-67500</v>
      </c>
      <c r="W61">
        <f>'1. Balance'!$I$10*Beregninger!W60</f>
        <v>-45000</v>
      </c>
      <c r="X61">
        <f>'1. Balance'!$I$10*Beregninger!X60</f>
        <v>-22500</v>
      </c>
      <c r="Y61">
        <f>'1. Balance'!$I$10*Beregninger!Y60</f>
        <v>0</v>
      </c>
      <c r="Z61">
        <f>'1. Balance'!$I$10*Beregninger!Z60</f>
        <v>22500</v>
      </c>
      <c r="AA61">
        <f>'1. Balance'!$I$10*Beregninger!AA60</f>
        <v>45000</v>
      </c>
      <c r="AB61">
        <f>'1. Balance'!$I$10*Beregninger!AB60</f>
        <v>67500</v>
      </c>
      <c r="AC61">
        <f>'1. Balance'!$I$10*Beregninger!AC60</f>
        <v>90000</v>
      </c>
      <c r="AD61">
        <f>'1. Balance'!$I$10*Beregninger!AD60</f>
        <v>112500</v>
      </c>
    </row>
    <row r="62" spans="1:30" x14ac:dyDescent="0.25">
      <c r="A62" s="25"/>
      <c r="B62" s="26"/>
      <c r="C62" s="26"/>
      <c r="D62" s="26"/>
      <c r="E62" s="175"/>
      <c r="F62" s="26"/>
      <c r="Q62" t="s">
        <v>173</v>
      </c>
      <c r="T62">
        <f>T61*(1-$R$20)</f>
        <v>-87750</v>
      </c>
      <c r="U62">
        <f t="shared" ref="U62:AD62" si="15">U61*(1-$R$20)</f>
        <v>-70200</v>
      </c>
      <c r="V62">
        <f t="shared" si="15"/>
        <v>-52650</v>
      </c>
      <c r="W62">
        <f t="shared" si="15"/>
        <v>-35100</v>
      </c>
      <c r="X62">
        <f t="shared" si="15"/>
        <v>-17550</v>
      </c>
      <c r="Y62">
        <f t="shared" si="15"/>
        <v>0</v>
      </c>
      <c r="Z62">
        <f t="shared" si="15"/>
        <v>17550</v>
      </c>
      <c r="AA62">
        <f t="shared" si="15"/>
        <v>35100</v>
      </c>
      <c r="AB62">
        <f t="shared" si="15"/>
        <v>52650</v>
      </c>
      <c r="AC62">
        <f t="shared" si="15"/>
        <v>70200</v>
      </c>
      <c r="AD62">
        <f t="shared" si="15"/>
        <v>87750</v>
      </c>
    </row>
    <row r="63" spans="1:30" x14ac:dyDescent="0.25">
      <c r="A63" s="25"/>
      <c r="B63" s="26"/>
      <c r="C63" s="26"/>
      <c r="D63" s="26"/>
      <c r="E63" s="175"/>
      <c r="F63" s="26"/>
      <c r="P63" t="s">
        <v>171</v>
      </c>
      <c r="T63" s="130">
        <f t="shared" ref="T63:AD63" si="16">(T61+$M$48)/$L$55</f>
        <v>2.72085941188514E-2</v>
      </c>
      <c r="U63" s="130">
        <f t="shared" si="16"/>
        <v>2.9458594118851399E-2</v>
      </c>
      <c r="V63" s="130">
        <f t="shared" si="16"/>
        <v>3.1708594118851401E-2</v>
      </c>
      <c r="W63" s="130">
        <f t="shared" si="16"/>
        <v>3.3958594118851403E-2</v>
      </c>
      <c r="X63" s="130">
        <f t="shared" si="16"/>
        <v>3.6208594118851398E-2</v>
      </c>
      <c r="Y63" s="130">
        <f t="shared" si="16"/>
        <v>3.84585941188514E-2</v>
      </c>
      <c r="Z63" s="130">
        <f t="shared" si="16"/>
        <v>4.0708594118851402E-2</v>
      </c>
      <c r="AA63" s="130">
        <f t="shared" si="16"/>
        <v>4.2958594118851397E-2</v>
      </c>
      <c r="AB63" s="130">
        <f t="shared" si="16"/>
        <v>4.5208594118851399E-2</v>
      </c>
      <c r="AC63" s="130">
        <f t="shared" si="16"/>
        <v>4.7458594118851401E-2</v>
      </c>
      <c r="AD63" s="130">
        <f t="shared" si="16"/>
        <v>4.9708594118851403E-2</v>
      </c>
    </row>
    <row r="64" spans="1:30" x14ac:dyDescent="0.25">
      <c r="A64" s="176" t="s">
        <v>139</v>
      </c>
      <c r="B64" s="26"/>
      <c r="C64" s="26"/>
      <c r="D64" s="26"/>
      <c r="E64" s="175"/>
      <c r="F64" s="26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</row>
    <row r="65" spans="1:30" x14ac:dyDescent="0.25">
      <c r="A65" s="25" t="s">
        <v>44</v>
      </c>
      <c r="B65" s="26"/>
      <c r="C65" s="26"/>
      <c r="D65" s="26"/>
      <c r="E65" s="175"/>
      <c r="F65" s="26"/>
      <c r="P65" t="s">
        <v>172</v>
      </c>
      <c r="T65" s="130">
        <f>($M$48+T62-$M$52)/$L$55</f>
        <v>2.7972805911329498E-2</v>
      </c>
      <c r="U65" s="130">
        <f t="shared" ref="U65:AD65" si="17">($M$48+U62-$M$52)/$L$55</f>
        <v>2.9727805911329497E-2</v>
      </c>
      <c r="V65" s="130">
        <f t="shared" si="17"/>
        <v>3.1482805911329501E-2</v>
      </c>
      <c r="W65" s="130">
        <f t="shared" si="17"/>
        <v>3.32378059113295E-2</v>
      </c>
      <c r="X65" s="130">
        <f t="shared" si="17"/>
        <v>3.49928059113295E-2</v>
      </c>
      <c r="Y65" s="130">
        <f>($M$48+Y62-$M$52)/$L$55</f>
        <v>3.6747805911329499E-2</v>
      </c>
      <c r="Z65" s="130">
        <f t="shared" si="17"/>
        <v>3.8502805911329499E-2</v>
      </c>
      <c r="AA65" s="130">
        <f t="shared" si="17"/>
        <v>4.0257805911329499E-2</v>
      </c>
      <c r="AB65" s="130">
        <f t="shared" si="17"/>
        <v>4.2012805911329498E-2</v>
      </c>
      <c r="AC65" s="130">
        <f t="shared" si="17"/>
        <v>4.3767805911329498E-2</v>
      </c>
      <c r="AD65" s="130">
        <f t="shared" si="17"/>
        <v>4.5522805911329497E-2</v>
      </c>
    </row>
    <row r="66" spans="1:30" x14ac:dyDescent="0.25">
      <c r="A66" s="25" t="s">
        <v>45</v>
      </c>
      <c r="B66" s="26"/>
      <c r="C66" s="26"/>
      <c r="D66" s="26"/>
      <c r="E66" s="175"/>
      <c r="F66" s="26"/>
      <c r="H66" s="187" t="s">
        <v>126</v>
      </c>
      <c r="I66" s="123"/>
      <c r="J66" s="123"/>
      <c r="K66" s="123"/>
      <c r="L66" s="123"/>
      <c r="M66" s="124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</row>
    <row r="67" spans="1:30" x14ac:dyDescent="0.25">
      <c r="A67" s="25" t="s">
        <v>7</v>
      </c>
      <c r="B67" s="26"/>
      <c r="C67" s="26"/>
      <c r="D67" s="26"/>
      <c r="E67" s="175"/>
      <c r="F67" s="26"/>
      <c r="H67" s="125"/>
      <c r="I67" s="28"/>
      <c r="J67" s="28"/>
      <c r="K67" s="28"/>
      <c r="L67" s="28"/>
      <c r="M67" s="126"/>
      <c r="P67" t="s">
        <v>93</v>
      </c>
      <c r="T67" s="130">
        <f t="shared" ref="T67:AD67" si="18">((1+T65)/(1+$R$21))-1</f>
        <v>1.2781089567812431E-2</v>
      </c>
      <c r="U67" s="130">
        <f t="shared" si="18"/>
        <v>1.4510153607221188E-2</v>
      </c>
      <c r="V67" s="130">
        <f t="shared" si="18"/>
        <v>1.6239217646630166E-2</v>
      </c>
      <c r="W67" s="130">
        <f t="shared" si="18"/>
        <v>1.7968281686038923E-2</v>
      </c>
      <c r="X67" s="130">
        <f t="shared" si="18"/>
        <v>1.9697345725447901E-2</v>
      </c>
      <c r="Y67" s="130">
        <f t="shared" si="18"/>
        <v>2.142640976485688E-2</v>
      </c>
      <c r="Z67" s="130">
        <f t="shared" si="18"/>
        <v>2.3155473804265636E-2</v>
      </c>
      <c r="AA67" s="130">
        <f t="shared" si="18"/>
        <v>2.4884537843674392E-2</v>
      </c>
      <c r="AB67" s="130">
        <f t="shared" si="18"/>
        <v>2.6613601883083149E-2</v>
      </c>
      <c r="AC67" s="130">
        <f t="shared" si="18"/>
        <v>2.8342665922492349E-2</v>
      </c>
      <c r="AD67" s="130">
        <f t="shared" si="18"/>
        <v>3.0071729961901106E-2</v>
      </c>
    </row>
    <row r="68" spans="1:30" x14ac:dyDescent="0.25">
      <c r="A68" s="180" t="s">
        <v>57</v>
      </c>
      <c r="B68" s="181"/>
      <c r="C68" s="181"/>
      <c r="D68" s="181"/>
      <c r="E68" s="182"/>
      <c r="F68" s="26"/>
      <c r="H68" s="125" t="s">
        <v>189</v>
      </c>
      <c r="I68" s="28"/>
      <c r="J68" s="28"/>
      <c r="K68" s="135"/>
      <c r="L68" s="135"/>
      <c r="M68" s="136">
        <f>'2. Finansiering'!I76</f>
        <v>0.04</v>
      </c>
    </row>
    <row r="69" spans="1:30" x14ac:dyDescent="0.25">
      <c r="F69" s="26"/>
      <c r="H69" s="125" t="s">
        <v>129</v>
      </c>
      <c r="I69" s="28"/>
      <c r="J69" s="28"/>
      <c r="K69" s="28"/>
      <c r="L69" s="28"/>
      <c r="M69" s="126">
        <f>L55*M68</f>
        <v>400000</v>
      </c>
    </row>
    <row r="70" spans="1:30" x14ac:dyDescent="0.25">
      <c r="F70" s="26"/>
      <c r="H70" s="125" t="s">
        <v>190</v>
      </c>
      <c r="I70" s="28"/>
      <c r="J70" s="28"/>
      <c r="K70" s="28"/>
      <c r="L70" s="28"/>
      <c r="M70" s="126">
        <f>M51</f>
        <v>77763.100341904676</v>
      </c>
      <c r="T70" s="1" t="s">
        <v>94</v>
      </c>
    </row>
    <row r="71" spans="1:30" x14ac:dyDescent="0.25">
      <c r="F71" s="26"/>
      <c r="H71" s="125" t="s">
        <v>191</v>
      </c>
      <c r="I71" s="28"/>
      <c r="J71" s="28"/>
      <c r="K71" s="28"/>
      <c r="L71" s="28"/>
      <c r="M71" s="126">
        <f>(M69-M70)*(1-R20)</f>
        <v>251344.78173331436</v>
      </c>
    </row>
    <row r="72" spans="1:30" x14ac:dyDescent="0.25">
      <c r="F72" s="26"/>
      <c r="H72" s="127" t="s">
        <v>14</v>
      </c>
      <c r="I72" s="128"/>
      <c r="J72" s="128"/>
      <c r="K72" s="128"/>
      <c r="L72" s="128"/>
      <c r="M72" s="139">
        <f>M71/'2. Finansiering'!D49</f>
        <v>2.010758253866515E-2</v>
      </c>
      <c r="S72" t="s">
        <v>89</v>
      </c>
      <c r="T72" s="130">
        <v>-0.01</v>
      </c>
      <c r="U72" s="130">
        <v>-7.4999999999999997E-3</v>
      </c>
      <c r="V72" s="130">
        <v>-5.0000000000000001E-3</v>
      </c>
      <c r="W72" s="130">
        <v>-2.5000000000000001E-3</v>
      </c>
      <c r="X72" s="130">
        <v>0</v>
      </c>
      <c r="Y72" s="130">
        <v>2.5000000000000001E-3</v>
      </c>
      <c r="Z72" s="130">
        <v>5.0000000000000001E-3</v>
      </c>
      <c r="AA72" s="130">
        <v>7.4999999999999997E-3</v>
      </c>
      <c r="AB72" s="130">
        <v>0.01</v>
      </c>
      <c r="AC72" s="130">
        <v>1.2500000000000001E-2</v>
      </c>
      <c r="AD72" s="130">
        <v>1.4999999999999999E-2</v>
      </c>
    </row>
    <row r="73" spans="1:30" x14ac:dyDescent="0.25">
      <c r="F73" s="26"/>
      <c r="L73" s="130"/>
      <c r="P73" t="s">
        <v>91</v>
      </c>
      <c r="T73">
        <f>'2. Finansiering'!$D$24*Beregninger!T72</f>
        <v>-5000</v>
      </c>
      <c r="U73">
        <f>'2. Finansiering'!$D$24*Beregninger!U72</f>
        <v>-3750</v>
      </c>
      <c r="V73">
        <f>'2. Finansiering'!$D$24*Beregninger!V72</f>
        <v>-2500</v>
      </c>
      <c r="W73">
        <f>'2. Finansiering'!$D$24*Beregninger!W72</f>
        <v>-1250</v>
      </c>
      <c r="X73">
        <f>'2. Finansiering'!$D$24*Beregninger!X72</f>
        <v>0</v>
      </c>
      <c r="Y73">
        <f>'2. Finansiering'!$D$24*Beregninger!Y72</f>
        <v>1250</v>
      </c>
      <c r="Z73">
        <f>'2. Finansiering'!$D$24*Beregninger!Z72</f>
        <v>2500</v>
      </c>
      <c r="AA73">
        <f>'2. Finansiering'!$D$24*Beregninger!AA72</f>
        <v>3750</v>
      </c>
      <c r="AB73">
        <f>'2. Finansiering'!$D$24*Beregninger!AB72</f>
        <v>5000</v>
      </c>
      <c r="AC73">
        <f>'2. Finansiering'!$D$24*Beregninger!AC72</f>
        <v>6250</v>
      </c>
      <c r="AD73">
        <f>'2. Finansiering'!$D$24*Beregninger!AD72</f>
        <v>7500</v>
      </c>
    </row>
    <row r="74" spans="1:30" x14ac:dyDescent="0.25">
      <c r="L74" s="130"/>
      <c r="Q74" t="s">
        <v>173</v>
      </c>
      <c r="T74">
        <f>T73*(1-$R$20)</f>
        <v>-3900</v>
      </c>
      <c r="U74">
        <f t="shared" ref="U74" si="19">U73*(1-$R$20)</f>
        <v>-2925</v>
      </c>
      <c r="V74">
        <f t="shared" ref="V74" si="20">V73*(1-$R$20)</f>
        <v>-1950</v>
      </c>
      <c r="W74">
        <f t="shared" ref="W74" si="21">W73*(1-$R$20)</f>
        <v>-975</v>
      </c>
      <c r="X74">
        <f t="shared" ref="X74" si="22">X73*(1-$R$20)</f>
        <v>0</v>
      </c>
      <c r="Y74">
        <f t="shared" ref="Y74" si="23">Y73*(1-$R$20)</f>
        <v>975</v>
      </c>
      <c r="Z74">
        <f t="shared" ref="Z74" si="24">Z73*(1-$R$20)</f>
        <v>1950</v>
      </c>
      <c r="AA74">
        <f t="shared" ref="AA74" si="25">AA73*(1-$R$20)</f>
        <v>2925</v>
      </c>
      <c r="AB74">
        <f t="shared" ref="AB74" si="26">AB73*(1-$R$20)</f>
        <v>3900</v>
      </c>
      <c r="AC74">
        <f t="shared" ref="AC74" si="27">AC73*(1-$R$20)</f>
        <v>4875</v>
      </c>
      <c r="AD74">
        <f t="shared" ref="AD74" si="28">AD73*(1-$R$20)</f>
        <v>5850</v>
      </c>
    </row>
    <row r="75" spans="1:30" x14ac:dyDescent="0.25">
      <c r="P75" t="s">
        <v>171</v>
      </c>
      <c r="T75" s="130">
        <f t="shared" ref="T75:AD75" si="29">(T73+$M$48)/$L$55</f>
        <v>3.7958594118851399E-2</v>
      </c>
      <c r="U75" s="130">
        <f t="shared" si="29"/>
        <v>3.8083594118851399E-2</v>
      </c>
      <c r="V75" s="130">
        <f t="shared" si="29"/>
        <v>3.8208594118851399E-2</v>
      </c>
      <c r="W75" s="130">
        <f t="shared" si="29"/>
        <v>3.83335941188514E-2</v>
      </c>
      <c r="X75" s="130">
        <f t="shared" si="29"/>
        <v>3.84585941188514E-2</v>
      </c>
      <c r="Y75" s="130">
        <f t="shared" si="29"/>
        <v>3.85835941188514E-2</v>
      </c>
      <c r="Z75" s="130">
        <f t="shared" si="29"/>
        <v>3.87085941188514E-2</v>
      </c>
      <c r="AA75" s="130">
        <f t="shared" si="29"/>
        <v>3.88335941188514E-2</v>
      </c>
      <c r="AB75" s="130">
        <f t="shared" si="29"/>
        <v>3.89585941188514E-2</v>
      </c>
      <c r="AC75" s="130">
        <f t="shared" si="29"/>
        <v>3.90835941188514E-2</v>
      </c>
      <c r="AD75" s="130">
        <f t="shared" si="29"/>
        <v>3.92085941188514E-2</v>
      </c>
    </row>
    <row r="76" spans="1:30" x14ac:dyDescent="0.25"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</row>
    <row r="77" spans="1:30" x14ac:dyDescent="0.25">
      <c r="P77" t="s">
        <v>172</v>
      </c>
      <c r="T77" s="130">
        <f t="shared" ref="T77:X77" si="30">($M$48+T74-$M$52)/$L$55</f>
        <v>3.6357805911329498E-2</v>
      </c>
      <c r="U77" s="130">
        <f t="shared" si="30"/>
        <v>3.6455305911329498E-2</v>
      </c>
      <c r="V77" s="130">
        <f t="shared" si="30"/>
        <v>3.6552805911329499E-2</v>
      </c>
      <c r="W77" s="130">
        <f t="shared" si="30"/>
        <v>3.6650305911329499E-2</v>
      </c>
      <c r="X77" s="130">
        <f t="shared" si="30"/>
        <v>3.6747805911329499E-2</v>
      </c>
      <c r="Y77" s="130">
        <f>($M$48+Y74-$M$52)/$L$55</f>
        <v>3.68453059113295E-2</v>
      </c>
      <c r="Z77" s="130">
        <f t="shared" ref="Z77:AD77" si="31">($M$48+Z74-$M$52)/$L$55</f>
        <v>3.69428059113295E-2</v>
      </c>
      <c r="AA77" s="130">
        <f t="shared" si="31"/>
        <v>3.7040305911329501E-2</v>
      </c>
      <c r="AB77" s="130">
        <f t="shared" si="31"/>
        <v>3.7137805911329501E-2</v>
      </c>
      <c r="AC77" s="130">
        <f t="shared" si="31"/>
        <v>3.7235305911329501E-2</v>
      </c>
      <c r="AD77" s="130">
        <f t="shared" si="31"/>
        <v>3.7332805911329502E-2</v>
      </c>
    </row>
    <row r="78" spans="1:30" x14ac:dyDescent="0.25"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</row>
    <row r="79" spans="1:30" x14ac:dyDescent="0.25">
      <c r="A79" s="99" t="s">
        <v>163</v>
      </c>
      <c r="B79" s="32"/>
      <c r="C79" s="32"/>
      <c r="D79" s="32"/>
      <c r="E79" s="32"/>
      <c r="F79" s="32"/>
      <c r="G79" s="32"/>
      <c r="H79" s="32"/>
      <c r="I79" s="32"/>
      <c r="J79" s="32"/>
      <c r="K79" s="33"/>
      <c r="P79" t="s">
        <v>93</v>
      </c>
      <c r="T79" s="130">
        <f t="shared" ref="T79:AD79" si="32">((1+T77)/(1+$R$21))-1</f>
        <v>2.104217331165481E-2</v>
      </c>
      <c r="U79" s="130">
        <f t="shared" si="32"/>
        <v>2.1138232424955383E-2</v>
      </c>
      <c r="V79" s="130">
        <f t="shared" si="32"/>
        <v>2.1234291538255956E-2</v>
      </c>
      <c r="W79" s="130">
        <f t="shared" si="32"/>
        <v>2.1330350651556307E-2</v>
      </c>
      <c r="X79" s="130">
        <f t="shared" si="32"/>
        <v>2.142640976485688E-2</v>
      </c>
      <c r="Y79" s="130">
        <f t="shared" si="32"/>
        <v>2.152246887815723E-2</v>
      </c>
      <c r="Z79" s="130">
        <f t="shared" si="32"/>
        <v>2.1618527991457803E-2</v>
      </c>
      <c r="AA79" s="130">
        <f t="shared" si="32"/>
        <v>2.1714587104758376E-2</v>
      </c>
      <c r="AB79" s="130">
        <f t="shared" si="32"/>
        <v>2.1810646218058727E-2</v>
      </c>
      <c r="AC79" s="130">
        <f t="shared" si="32"/>
        <v>2.19067053313593E-2</v>
      </c>
      <c r="AD79" s="130">
        <f t="shared" si="32"/>
        <v>2.2002764444659872E-2</v>
      </c>
    </row>
    <row r="80" spans="1:30" x14ac:dyDescent="0.25">
      <c r="A80" s="3"/>
      <c r="B80" s="4"/>
      <c r="C80" s="4"/>
      <c r="D80" s="4"/>
      <c r="E80" s="4"/>
      <c r="F80" s="4"/>
      <c r="G80" s="4"/>
      <c r="H80" s="4"/>
      <c r="I80" s="4"/>
      <c r="J80" s="4"/>
      <c r="K80" s="6"/>
      <c r="P80" s="119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</row>
    <row r="81" spans="1:30" x14ac:dyDescent="0.25">
      <c r="A81" s="3" t="s">
        <v>185</v>
      </c>
      <c r="B81" s="4"/>
      <c r="C81" s="5"/>
      <c r="D81" s="4"/>
      <c r="E81" s="4"/>
      <c r="F81" s="4" t="s">
        <v>193</v>
      </c>
      <c r="G81" s="4"/>
      <c r="H81" s="4"/>
      <c r="I81" s="4"/>
      <c r="J81" s="4"/>
      <c r="K81" s="6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</row>
    <row r="82" spans="1:30" x14ac:dyDescent="0.25">
      <c r="A82" s="193">
        <f>'2. Finansiering'!B77</f>
        <v>6.3726000000000005E-2</v>
      </c>
      <c r="B82" s="4"/>
      <c r="C82" s="5"/>
      <c r="D82" s="4"/>
      <c r="E82" s="4"/>
      <c r="F82" s="169">
        <f>'2. Finansiering'!I77</f>
        <v>2.010758253866515E-2</v>
      </c>
      <c r="G82" s="4"/>
      <c r="H82" s="4"/>
      <c r="I82" s="4"/>
      <c r="J82" s="4"/>
      <c r="K82" s="6"/>
    </row>
    <row r="83" spans="1:30" x14ac:dyDescent="0.25">
      <c r="A83" s="3" t="s">
        <v>152</v>
      </c>
      <c r="B83" s="4"/>
      <c r="C83" s="5"/>
      <c r="D83" s="4"/>
      <c r="E83" s="4"/>
      <c r="F83" s="4"/>
      <c r="G83" s="4"/>
      <c r="H83" s="4"/>
      <c r="I83" s="4"/>
      <c r="J83" s="4"/>
      <c r="K83" s="6"/>
    </row>
    <row r="84" spans="1:30" x14ac:dyDescent="0.25">
      <c r="A84" s="193">
        <f>'2. Finansiering'!D77</f>
        <v>8.6953582538665142E-2</v>
      </c>
      <c r="B84" s="4"/>
      <c r="C84" s="5"/>
      <c r="D84" s="4"/>
      <c r="E84" s="4"/>
      <c r="F84" s="4"/>
      <c r="G84" s="4"/>
      <c r="H84" s="4"/>
      <c r="I84" s="4"/>
      <c r="J84" s="4"/>
      <c r="K84" s="6"/>
    </row>
    <row r="85" spans="1:30" x14ac:dyDescent="0.25">
      <c r="A85" s="3" t="s">
        <v>186</v>
      </c>
      <c r="B85" s="4"/>
      <c r="C85" s="5"/>
      <c r="D85" s="4"/>
      <c r="E85" s="4"/>
      <c r="F85" s="4" t="s">
        <v>194</v>
      </c>
      <c r="G85" s="4"/>
      <c r="H85" s="4"/>
      <c r="I85" s="4"/>
      <c r="J85" s="4"/>
      <c r="K85" s="6"/>
    </row>
    <row r="86" spans="1:30" x14ac:dyDescent="0.25">
      <c r="A86" s="3" t="s">
        <v>157</v>
      </c>
      <c r="B86" s="4"/>
      <c r="C86" s="5"/>
      <c r="D86" s="4"/>
      <c r="E86" s="4"/>
      <c r="F86" s="169">
        <f>'2. Finansiering'!I76</f>
        <v>0.04</v>
      </c>
      <c r="G86" s="4"/>
      <c r="H86" s="4"/>
      <c r="I86" s="4"/>
      <c r="J86" s="4"/>
      <c r="K86" s="6"/>
    </row>
    <row r="87" spans="1:30" x14ac:dyDescent="0.25">
      <c r="A87" s="193">
        <f>'2. Finansiering'!B76</f>
        <v>4.4999999999999998E-2</v>
      </c>
      <c r="B87" s="4"/>
      <c r="C87" s="5"/>
      <c r="D87" s="4"/>
      <c r="E87" s="4"/>
      <c r="F87" s="4"/>
      <c r="G87" s="4"/>
      <c r="H87" s="4"/>
      <c r="I87" s="4"/>
      <c r="J87" s="4"/>
      <c r="K87" s="6"/>
    </row>
    <row r="88" spans="1:30" x14ac:dyDescent="0.25">
      <c r="A88" s="3" t="s">
        <v>152</v>
      </c>
      <c r="B88" s="4"/>
      <c r="C88" s="5"/>
      <c r="D88" s="4"/>
      <c r="E88" s="4"/>
      <c r="F88" s="4" t="s">
        <v>160</v>
      </c>
      <c r="G88" s="4"/>
      <c r="H88" s="4"/>
      <c r="I88" s="4"/>
      <c r="J88" s="4"/>
      <c r="K88" s="6"/>
    </row>
    <row r="89" spans="1:30" x14ac:dyDescent="0.25">
      <c r="A89" s="193">
        <f>'2. Finansiering'!D76</f>
        <v>4.4999999999999998E-2</v>
      </c>
      <c r="B89" s="4"/>
      <c r="C89" s="5"/>
      <c r="D89" s="4"/>
      <c r="E89" s="4"/>
      <c r="F89" s="169">
        <f>'2. Finansiering'!I77</f>
        <v>2.010758253866515E-2</v>
      </c>
      <c r="G89" s="4"/>
      <c r="H89" s="4"/>
      <c r="I89" s="4"/>
      <c r="J89" s="4"/>
      <c r="K89" s="6"/>
    </row>
    <row r="90" spans="1:30" x14ac:dyDescent="0.25">
      <c r="A90" s="3" t="s">
        <v>150</v>
      </c>
      <c r="B90" s="4"/>
      <c r="C90" s="5"/>
      <c r="D90" s="4"/>
      <c r="E90" s="4"/>
      <c r="F90" s="4" t="str">
        <f>IF(F88&gt;F92," er større end", " er mindre end")</f>
        <v xml:space="preserve"> er større end</v>
      </c>
      <c r="G90" s="4"/>
      <c r="H90" s="4"/>
      <c r="I90" s="4"/>
      <c r="J90" s="4"/>
      <c r="K90" s="6"/>
    </row>
    <row r="91" spans="1:30" x14ac:dyDescent="0.25">
      <c r="A91" s="193" t="s">
        <v>187</v>
      </c>
      <c r="B91" s="4"/>
      <c r="C91" s="5"/>
      <c r="D91" s="4"/>
      <c r="E91" s="4"/>
      <c r="F91" s="4" t="s">
        <v>155</v>
      </c>
      <c r="G91" s="4"/>
      <c r="H91" s="4"/>
      <c r="I91" s="4"/>
      <c r="J91" s="4"/>
      <c r="K91" s="6"/>
    </row>
    <row r="92" spans="1:30" x14ac:dyDescent="0.25">
      <c r="A92" s="193">
        <f>'2. Finansiering'!D77</f>
        <v>8.6953582538665142E-2</v>
      </c>
      <c r="B92" s="4"/>
      <c r="C92" s="5"/>
      <c r="D92" s="4"/>
      <c r="E92" s="4"/>
      <c r="F92" s="169">
        <f>'2. Finansiering'!M49</f>
        <v>1.914574526882841E-2</v>
      </c>
      <c r="G92" s="4"/>
      <c r="H92" s="4"/>
      <c r="I92" s="4"/>
      <c r="J92" s="4"/>
      <c r="K92" s="6"/>
    </row>
    <row r="93" spans="1:30" x14ac:dyDescent="0.25">
      <c r="A93" s="194" t="s">
        <v>151</v>
      </c>
      <c r="B93" s="4"/>
      <c r="C93" s="5"/>
      <c r="D93" s="4"/>
      <c r="E93" s="4"/>
      <c r="F93" s="4" t="s">
        <v>161</v>
      </c>
      <c r="G93" s="4"/>
      <c r="H93" s="4"/>
      <c r="I93" s="4"/>
      <c r="J93" s="4"/>
      <c r="K93" s="6"/>
    </row>
    <row r="94" spans="1:30" x14ac:dyDescent="0.25">
      <c r="A94" s="193">
        <f>'2. Finansiering'!B77</f>
        <v>6.3726000000000005E-2</v>
      </c>
      <c r="B94" s="4"/>
      <c r="C94" s="5"/>
      <c r="D94" s="4"/>
      <c r="E94" s="4"/>
      <c r="F94" s="4" t="s">
        <v>162</v>
      </c>
      <c r="G94" s="4"/>
      <c r="H94" s="4"/>
      <c r="I94" s="4"/>
      <c r="J94" s="4"/>
      <c r="K94" s="6"/>
    </row>
    <row r="95" spans="1:30" x14ac:dyDescent="0.25">
      <c r="A95" s="194" t="s">
        <v>158</v>
      </c>
      <c r="B95" s="4"/>
      <c r="C95" s="5"/>
      <c r="D95" s="4"/>
      <c r="E95" s="4"/>
      <c r="F95" s="4"/>
      <c r="G95" s="4"/>
      <c r="H95" s="4"/>
      <c r="I95" s="4"/>
      <c r="J95" s="4"/>
      <c r="K95" s="6"/>
    </row>
    <row r="96" spans="1:30" x14ac:dyDescent="0.25">
      <c r="A96" s="193">
        <f>'2. Finansiering'!D77-'2. Finansiering'!B77</f>
        <v>2.3227582538665137E-2</v>
      </c>
      <c r="B96" s="4"/>
      <c r="C96" s="5"/>
      <c r="D96" s="4"/>
      <c r="E96" s="4"/>
      <c r="F96" s="4" t="s">
        <v>165</v>
      </c>
      <c r="G96" s="4"/>
      <c r="H96" s="4"/>
      <c r="I96" s="4"/>
      <c r="J96" s="4"/>
      <c r="K96" s="6"/>
    </row>
    <row r="97" spans="1:11" x14ac:dyDescent="0.25">
      <c r="A97" s="3" t="str">
        <f>IF(A98&gt;0,"skal kravet til afkastningsgraden dermed stige med ","skal kravet til afkastningsgraden dermed falde med " )</f>
        <v xml:space="preserve">skal kravet til afkastningsgraden dermed falde med </v>
      </c>
      <c r="B97" s="4"/>
      <c r="C97" s="5"/>
      <c r="D97" s="4"/>
      <c r="E97" s="4"/>
      <c r="F97" s="169">
        <f>'2. Finansiering'!I77</f>
        <v>2.010758253866515E-2</v>
      </c>
      <c r="G97" s="4"/>
      <c r="H97" s="4"/>
      <c r="I97" s="4"/>
      <c r="J97" s="4"/>
      <c r="K97" s="6"/>
    </row>
    <row r="98" spans="1:11" x14ac:dyDescent="0.25">
      <c r="A98" s="193">
        <f>'2. Finansiering'!D76-'2. Finansiering'!B76</f>
        <v>0</v>
      </c>
      <c r="B98" s="4"/>
      <c r="C98" s="5"/>
      <c r="D98" s="4"/>
      <c r="E98" s="4"/>
      <c r="F98" s="170" t="s">
        <v>151</v>
      </c>
      <c r="G98" s="4"/>
      <c r="H98" s="4"/>
      <c r="I98" s="4"/>
      <c r="J98" s="4"/>
      <c r="K98" s="6"/>
    </row>
    <row r="99" spans="1:11" x14ac:dyDescent="0.25">
      <c r="A99" s="3" t="s">
        <v>153</v>
      </c>
      <c r="B99" s="4"/>
      <c r="C99" s="5"/>
      <c r="D99" s="4"/>
      <c r="E99" s="4"/>
      <c r="F99" s="198">
        <f>'2. Finansiering'!M49</f>
        <v>1.914574526882841E-2</v>
      </c>
      <c r="G99" s="4"/>
      <c r="H99" s="4"/>
      <c r="I99" s="4"/>
      <c r="J99" s="4"/>
      <c r="K99" s="6"/>
    </row>
    <row r="100" spans="1:11" x14ac:dyDescent="0.25">
      <c r="A100" s="3"/>
      <c r="B100" s="4"/>
      <c r="C100" s="5"/>
      <c r="D100" s="4"/>
      <c r="E100" s="4"/>
      <c r="F100" s="199" t="s">
        <v>158</v>
      </c>
      <c r="G100" s="4"/>
      <c r="H100" s="4"/>
      <c r="I100" s="4"/>
      <c r="J100" s="4"/>
      <c r="K100" s="6"/>
    </row>
    <row r="101" spans="1:11" x14ac:dyDescent="0.25">
      <c r="A101" s="3" t="s">
        <v>154</v>
      </c>
      <c r="B101" s="4"/>
      <c r="C101" s="5"/>
      <c r="D101" s="4"/>
      <c r="E101" s="4"/>
      <c r="F101" s="198">
        <f>F97-F99</f>
        <v>9.6183726983673987E-4</v>
      </c>
      <c r="G101" s="4"/>
      <c r="H101" s="4"/>
      <c r="I101" s="4"/>
      <c r="J101" s="4"/>
      <c r="K101" s="6"/>
    </row>
    <row r="102" spans="1:11" x14ac:dyDescent="0.25">
      <c r="A102" s="193">
        <f>A96</f>
        <v>2.3227582538665137E-2</v>
      </c>
      <c r="B102" s="4"/>
      <c r="C102" s="5"/>
      <c r="D102" s="4"/>
      <c r="E102" s="4"/>
      <c r="F102" s="67" t="s">
        <v>164</v>
      </c>
      <c r="G102" s="4"/>
      <c r="H102" s="4"/>
      <c r="I102" s="4"/>
      <c r="J102" s="4"/>
      <c r="K102" s="6"/>
    </row>
    <row r="103" spans="1:11" x14ac:dyDescent="0.25">
      <c r="A103" s="3" t="s">
        <v>166</v>
      </c>
      <c r="B103" s="4"/>
      <c r="C103" s="5"/>
      <c r="D103" s="4"/>
      <c r="E103" s="4"/>
      <c r="F103" s="198">
        <f>'2. Finansiering'!I76</f>
        <v>0.04</v>
      </c>
      <c r="G103" s="4"/>
      <c r="H103" s="4"/>
      <c r="I103" s="4"/>
      <c r="J103" s="4"/>
      <c r="K103" s="6"/>
    </row>
    <row r="104" spans="1:11" x14ac:dyDescent="0.25">
      <c r="A104" s="3" t="str">
        <f>IF(A102&gt;A106,"større end den", "mindre end den")</f>
        <v>større end den</v>
      </c>
      <c r="B104" s="4"/>
      <c r="C104" s="5"/>
      <c r="D104" s="4"/>
      <c r="E104" s="4"/>
      <c r="F104" s="4"/>
      <c r="G104" s="4"/>
      <c r="H104" s="4"/>
      <c r="I104" s="4"/>
      <c r="J104" s="4"/>
      <c r="K104" s="6"/>
    </row>
    <row r="105" spans="1:11" x14ac:dyDescent="0.25">
      <c r="A105" s="3" t="s">
        <v>156</v>
      </c>
      <c r="B105" s="4"/>
      <c r="C105" s="5"/>
      <c r="D105" s="4"/>
      <c r="E105" s="4"/>
      <c r="F105" s="4"/>
      <c r="G105" s="4"/>
      <c r="H105" s="4"/>
      <c r="I105" s="4"/>
      <c r="J105" s="4"/>
      <c r="K105" s="6"/>
    </row>
    <row r="106" spans="1:11" x14ac:dyDescent="0.25">
      <c r="A106" s="193">
        <f>'2. Finansiering'!M49</f>
        <v>1.914574526882841E-2</v>
      </c>
      <c r="B106" s="4"/>
      <c r="C106" s="5"/>
      <c r="D106" s="4"/>
      <c r="E106" s="4"/>
      <c r="F106" s="4"/>
      <c r="G106" s="4"/>
      <c r="H106" s="4"/>
      <c r="I106" s="4"/>
      <c r="J106" s="4"/>
      <c r="K106" s="6"/>
    </row>
    <row r="107" spans="1:11" x14ac:dyDescent="0.25">
      <c r="A107" s="3" t="s">
        <v>169</v>
      </c>
      <c r="B107" s="4"/>
      <c r="C107" s="5"/>
      <c r="D107" s="4"/>
      <c r="E107" s="4"/>
      <c r="F107" s="4"/>
      <c r="G107" s="4"/>
      <c r="H107" s="4"/>
      <c r="I107" s="4"/>
      <c r="J107" s="4"/>
      <c r="K107" s="6"/>
    </row>
    <row r="108" spans="1:11" x14ac:dyDescent="0.25">
      <c r="A108" s="3"/>
      <c r="B108" s="4"/>
      <c r="C108" s="5"/>
      <c r="D108" s="4"/>
      <c r="E108" s="4"/>
      <c r="F108" s="4"/>
      <c r="G108" s="4"/>
      <c r="H108" s="4"/>
      <c r="I108" s="4"/>
      <c r="J108" s="4"/>
      <c r="K108" s="6"/>
    </row>
    <row r="109" spans="1:11" x14ac:dyDescent="0.25">
      <c r="A109" s="34"/>
      <c r="B109" s="35"/>
      <c r="C109" s="35"/>
      <c r="D109" s="35"/>
      <c r="E109" s="35"/>
      <c r="F109" s="35"/>
      <c r="G109" s="35"/>
      <c r="H109" s="35"/>
      <c r="I109" s="35"/>
      <c r="J109" s="35"/>
      <c r="K109" s="36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Set Item Permission, based on rettighedsgruppe</Name>
    <Synchronization>Asynchronous</Synchronization>
    <Type>10001</Type>
    <SequenceNumber>1010</SequenceNumber>
    <Assembly>DAAS.WebInfo.Common, Version=1.0.0.0, Culture=neutral, PublicKeyToken=f192aeb827ef4bcc</Assembly>
    <Class>DAAS.WebInfo.Common.EventReceivers.RightsGroupItemEventReceiver</Class>
    <Data/>
    <Filter/>
  </Receiver>
  <Receiver>
    <Name>Set Item Permission, based on rettighedsgruppe</Name>
    <Synchronization>Asynchronous</Synchronization>
    <Type>10002</Type>
    <SequenceNumber>1010</SequenceNumber>
    <Assembly>DAAS.WebInfo.Common, Version=1.0.0.0, Culture=neutral, PublicKeyToken=f192aeb827ef4bcc</Assembly>
    <Class>DAAS.WebInfo.Common.EventReceivers.RightsGroupItemEventReceiver</Class>
    <Data/>
    <Filter/>
  </Receiver>
  <Receiver>
    <Name>WebInfo Content Page Event</Name>
    <Synchronization>Synchronous</Synchronization>
    <Type>1</Type>
    <SequenceNumber>1030</SequenceNumber>
    <Assembly>DAAS.WebInfo.Common, Version=1.0.0.0, Culture=neutral, PublicKeyToken=f192aeb827ef4bcc</Assembly>
    <Class>DAAS.WebInfo.Common.EventReceivers.WebInfoContentPageEventReceiver</Class>
    <Data/>
    <Filter/>
  </Receiver>
  <Receiver>
    <Name>WebInfo Content Page Event</Name>
    <Synchronization>Synchronous</Synchronization>
    <Type>2</Type>
    <SequenceNumber>1030</SequenceNumber>
    <Assembly>DAAS.WebInfo.Common, Version=1.0.0.0, Culture=neutral, PublicKeyToken=f192aeb827ef4bcc</Assembly>
    <Class>DAAS.WebInfo.Common.EventReceivers.WebInfoContentPageEventReceiver</Class>
    <Data/>
    <Filter/>
  </Receiver>
  <Receiver>
    <Name>WebInfo Content Page Event</Name>
    <Synchronization>Asynchronous</Synchronization>
    <Type>10002</Type>
    <SequenceNumber>1030</SequenceNumber>
    <Assembly>DAAS.WebInfo.Common, Version=1.0.0.0, Culture=neutral, PublicKeyToken=f192aeb827ef4bcc</Assembly>
    <Class>DAAS.WebInfo.Common.EventReceivers.WebInfoContentPageEventReceiver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Landbrugsinfo Binær Fil" ma:contentTypeID="0x010100C568DB52D9D0A14D9B2FDCC96666E9F2007948130EC3DB064584E219954237AF3900242457EFB8B24247815D688C526CD44D00C26A9DBCB02B5C4DA1F017B836C045C00060750ADE2E6249BABB5C6118FC133DE800AF2E6DC7107240CAAE62CB7A7C0C31000029CB4AD450138A428D24D972EFB8D65D" ma:contentTypeVersion="97" ma:contentTypeDescription="Contenttype til binære filer der bliver publiceret på Landbrugsinfo" ma:contentTypeScope="" ma:versionID="1a38b5681105ed15008797097a25c4b8">
  <xsd:schema xmlns:xsd="http://www.w3.org/2001/XMLSchema" xmlns:xs="http://www.w3.org/2001/XMLSchema" xmlns:p="http://schemas.microsoft.com/office/2006/metadata/properties" xmlns:ns1="http://schemas.microsoft.com/sharepoint/v3" xmlns:ns2="2784f8e4-fb23-41f2-abf2-894c09132e17" xmlns:ns3="5aa14257-579e-4a1f-bbbb-3c8dd7393476" xmlns:ns4="303eeafb-7dff-46db-9396-e9c651f530ea" targetNamespace="http://schemas.microsoft.com/office/2006/metadata/properties" ma:root="true" ma:fieldsID="ff6ba2051addc41494028926952a263b" ns1:_="" ns2:_="" ns3:_="" ns4:_="">
    <xsd:import namespace="http://schemas.microsoft.com/sharepoint/v3"/>
    <xsd:import namespace="2784f8e4-fb23-41f2-abf2-894c09132e17"/>
    <xsd:import namespace="5aa14257-579e-4a1f-bbbb-3c8dd7393476"/>
    <xsd:import namespace="303eeafb-7dff-46db-9396-e9c651f530ea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1:PublishingStartDate" minOccurs="0"/>
                <xsd:element ref="ns1:PublishingExpirationDate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PageLayout" minOccurs="0"/>
                <xsd:element ref="ns1:PublishingVariationGroupID" minOccurs="0"/>
                <xsd:element ref="ns1:PublishingVariationRelationshipLinkFieldID" minOccurs="0"/>
                <xsd:element ref="ns1:PublishingRollupImage" minOccurs="0"/>
                <xsd:element ref="ns1:Audience" minOccurs="0"/>
                <xsd:element ref="ns1:PublishingPageImage" minOccurs="0"/>
                <xsd:element ref="ns1:PublishingPageContent" minOccurs="0"/>
                <xsd:element ref="ns1:SummaryLinks" minOccurs="0"/>
                <xsd:element ref="ns1:ArticleByLine" minOccurs="0"/>
                <xsd:element ref="ns1:ArticleStartDate" minOccurs="0"/>
                <xsd:element ref="ns1:PublishingImageCaption" minOccurs="0"/>
                <xsd:element ref="ns1:HeaderStyleDefinitions" minOccurs="0"/>
                <xsd:element ref="ns2:Ansvarligafdeling" minOccurs="0"/>
                <xsd:element ref="ns3:Forfattere" minOccurs="0"/>
                <xsd:element ref="ns2:Rettighedsgruppe"/>
                <xsd:element ref="ns3:Listekode" minOccurs="0"/>
                <xsd:element ref="ns3:Nummer" minOccurs="0"/>
                <xsd:element ref="ns3:Noegleord" minOccurs="0"/>
                <xsd:element ref="ns3:Informationsserie" minOccurs="0"/>
                <xsd:element ref="ns3:Bekraeftelsesdato" minOccurs="0"/>
                <xsd:element ref="ns3:Revisionsdato" minOccurs="0"/>
                <xsd:element ref="ns2:Afsender" minOccurs="0"/>
                <xsd:element ref="ns2:Arkiveringsdato"/>
                <xsd:element ref="ns2:Ingen_x0020_besked_x0020_ved_x0020_arkivering" minOccurs="0"/>
                <xsd:element ref="ns2:HideInRollups" minOccurs="0"/>
                <xsd:element ref="ns2:IsHiddenFromRollup" minOccurs="0"/>
                <xsd:element ref="ns1:DynamicPublishingContent0" minOccurs="0"/>
                <xsd:element ref="ns1:DynamicPublishingContent1" minOccurs="0"/>
                <xsd:element ref="ns1:DynamicPublishingContent2" minOccurs="0"/>
                <xsd:element ref="ns1:DynamicPublishingContent3" minOccurs="0"/>
                <xsd:element ref="ns1:DynamicPublishingContent4" minOccurs="0"/>
                <xsd:element ref="ns1:DynamicPublishingContent5" minOccurs="0"/>
                <xsd:element ref="ns3:Sorteringsorden" minOccurs="0"/>
                <xsd:element ref="ns2:EnclosureFor" minOccurs="0"/>
                <xsd:element ref="ns2:GammelURL" minOccurs="0"/>
                <xsd:element ref="ns2:NetSkabelonValue" minOccurs="0"/>
                <xsd:element ref="ns2:Projekter" minOccurs="0"/>
                <xsd:element ref="ns2:WebInfoSubjects" minOccurs="0"/>
                <xsd:element ref="ns2:HitCount" minOccurs="0"/>
                <xsd:element ref="ns2:PermalinkID" minOccurs="0"/>
                <xsd:element ref="ns2:WebInfoMultiSelect" minOccurs="0"/>
                <xsd:element ref="ns4:_dlc_DocId" minOccurs="0"/>
                <xsd:element ref="ns4:_dlc_DocIdUrl" minOccurs="0"/>
                <xsd:element ref="ns4:_dlc_DocIdPersistId" minOccurs="0"/>
                <xsd:element ref="ns1:DynamicPublishingContent6" minOccurs="0"/>
                <xsd:element ref="ns1:DynamicPublishingContent7" minOccurs="0"/>
                <xsd:element ref="ns1:DynamicPublishingContent8" minOccurs="0"/>
                <xsd:element ref="ns1:DynamicPublishingContent9" minOccurs="0"/>
                <xsd:element ref="ns1:DynamicPublishingContent10" minOccurs="0"/>
                <xsd:element ref="ns1:DynamicPublishingContent11" minOccurs="0"/>
                <xsd:element ref="ns1:DynamicPublishingContent12" minOccurs="0"/>
                <xsd:element ref="ns1:DynamicPublishingContent13" minOccurs="0"/>
                <xsd:element ref="ns1:DynamicPublishingContent14" minOccurs="0"/>
                <xsd:element ref="ns2:TaksonomiTaxHTField0" minOccurs="0"/>
                <xsd:element ref="ns4:TaxCatchAll" minOccurs="0"/>
                <xsd:element ref="ns4:TaxCatchAllLabel" minOccurs="0"/>
                <xsd:element ref="ns2:Bevillingsgivere" minOccurs="0"/>
                <xsd:element ref="ns2:FinanceYear" minOccurs="0"/>
                <xsd:element ref="ns2:WebInfoLawCodes" minOccurs="0"/>
                <xsd:element ref="ns2:Afrapportering" minOccurs="0"/>
                <xsd:element ref="ns3:Kontaktpersoner" minOccurs="0"/>
                <xsd:element ref="ns3:Skribenter" minOccurs="0"/>
                <xsd:element ref="ns2:Projec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Beskrivelse" ma:internalName="Comments">
      <xsd:simpleType>
        <xsd:restriction base="dms:Note">
          <xsd:maxLength value="255"/>
        </xsd:restriction>
      </xsd:simpleType>
    </xsd:element>
    <xsd:element name="PublishingStartDate" ma:index="9" nillable="true" ma:displayName="Startdato for planlægning" ma:internalName="PublishingStartDate">
      <xsd:simpleType>
        <xsd:restriction base="dms:Unknown"/>
      </xsd:simpleType>
    </xsd:element>
    <xsd:element name="PublishingExpirationDate" ma:index="10" nillable="true" ma:displayName="Slutdato for planlægning" ma:internalName="PublishingExpirationDate">
      <xsd:simpleType>
        <xsd:restriction base="dms:Unknown"/>
      </xsd:simpleType>
    </xsd:element>
    <xsd:element name="PublishingContact" ma:index="11" nillable="true" ma:displayName="Kontaktperson" ma:list="UserInfo" ma:internalName="PublishingContac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2" nillable="true" ma:displayName="E-mail-adresse på kontaktperson" ma:internalName="PublishingContactEmail">
      <xsd:simpleType>
        <xsd:restriction base="dms:Text">
          <xsd:maxLength value="255"/>
        </xsd:restriction>
      </xsd:simpleType>
    </xsd:element>
    <xsd:element name="PublishingContactName" ma:index="13" nillable="true" ma:displayName="Navn på kontaktperson" ma:internalName="PublishingContactName">
      <xsd:simpleType>
        <xsd:restriction base="dms:Text">
          <xsd:maxLength value="255"/>
        </xsd:restriction>
      </xsd:simpleType>
    </xsd:element>
    <xsd:element name="PublishingContactPicture" ma:index="14" nillable="true" ma:displayName="Billede af kontaktperson" ma:format="Image" ma:internalName="PublishingContactPictur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PageLayout" ma:index="15" nillable="true" ma:displayName="Sidelayout" ma:internalName="PublishingPageLayout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VariationGroupID" ma:index="16" nillable="true" ma:displayName="Variationsgruppe-id" ma:hidden="true" ma:internalName="PublishingVariationGroupID">
      <xsd:simpleType>
        <xsd:restriction base="dms:Text">
          <xsd:maxLength value="255"/>
        </xsd:restriction>
      </xsd:simpleType>
    </xsd:element>
    <xsd:element name="PublishingVariationRelationshipLinkFieldID" ma:index="17" nillable="true" ma:displayName="Relationshyperlink for variation" ma:hidden="true" ma:internalName="PublishingVariationRelationshipLinkFieldI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8" nillable="true" ma:displayName="Opløftningsbillede" ma:internalName="PublishingRollupImage">
      <xsd:simpleType>
        <xsd:restriction base="dms:Unknown"/>
      </xsd:simpleType>
    </xsd:element>
    <xsd:element name="Audience" ma:index="19" nillable="true" ma:displayName="Målgrupper" ma:description="" ma:internalName="Audience">
      <xsd:simpleType>
        <xsd:restriction base="dms:Unknown"/>
      </xsd:simpleType>
    </xsd:element>
    <xsd:element name="PublishingPageImage" ma:index="20" nillable="true" ma:displayName="Sidebillede" ma:internalName="PublishingPageImage">
      <xsd:simpleType>
        <xsd:restriction base="dms:Unknown"/>
      </xsd:simpleType>
    </xsd:element>
    <xsd:element name="PublishingPageContent" ma:index="21" nillable="true" ma:displayName="Sideindhold" ma:internalName="PublishingPageContent">
      <xsd:simpleType>
        <xsd:restriction base="dms:Unknown"/>
      </xsd:simpleType>
    </xsd:element>
    <xsd:element name="SummaryLinks" ma:index="22" nillable="true" ma:displayName="Oversigtshyperlinks" ma:internalName="SummaryLinks">
      <xsd:simpleType>
        <xsd:restriction base="dms:Unknown"/>
      </xsd:simpleType>
    </xsd:element>
    <xsd:element name="ArticleByLine" ma:index="23" nillable="true" ma:displayName="Forfatterlinje" ma:internalName="ArticleByLine">
      <xsd:simpleType>
        <xsd:restriction base="dms:Text">
          <xsd:maxLength value="255"/>
        </xsd:restriction>
      </xsd:simpleType>
    </xsd:element>
    <xsd:element name="ArticleStartDate" ma:index="24" nillable="true" ma:displayName="Artikeldato" ma:format="DateOnly" ma:internalName="ArticleStartDate">
      <xsd:simpleType>
        <xsd:restriction base="dms:DateTime"/>
      </xsd:simpleType>
    </xsd:element>
    <xsd:element name="PublishingImageCaption" ma:index="25" nillable="true" ma:displayName="Billedtekst" ma:internalName="PublishingImageCaption">
      <xsd:simpleType>
        <xsd:restriction base="dms:Unknown"/>
      </xsd:simpleType>
    </xsd:element>
    <xsd:element name="HeaderStyleDefinitions" ma:index="26" nillable="true" ma:displayName="Typografidefinitioner" ma:hidden="true" ma:internalName="HeaderStyleDefinitions">
      <xsd:simpleType>
        <xsd:restriction base="dms:Unknown"/>
      </xsd:simpleType>
    </xsd:element>
    <xsd:element name="DynamicPublishingContent0" ma:index="41" nillable="true" ma:displayName="Dynamisk sideindhold (1)" ma:hidden="true" ma:internalName="DynamicPublishingContent0">
      <xsd:simpleType>
        <xsd:restriction base="dms:Unknown"/>
      </xsd:simpleType>
    </xsd:element>
    <xsd:element name="DynamicPublishingContent1" ma:index="42" nillable="true" ma:displayName="Dynamisk sideindhold (2)" ma:hidden="true" ma:internalName="DynamicPublishingContent1">
      <xsd:simpleType>
        <xsd:restriction base="dms:Unknown"/>
      </xsd:simpleType>
    </xsd:element>
    <xsd:element name="DynamicPublishingContent2" ma:index="43" nillable="true" ma:displayName="Dynamisk sideindhold (3)" ma:hidden="true" ma:internalName="DynamicPublishingContent2">
      <xsd:simpleType>
        <xsd:restriction base="dms:Unknown"/>
      </xsd:simpleType>
    </xsd:element>
    <xsd:element name="DynamicPublishingContent3" ma:index="44" nillable="true" ma:displayName="Dynamisk sideindhold (4)" ma:hidden="true" ma:internalName="DynamicPublishingContent3">
      <xsd:simpleType>
        <xsd:restriction base="dms:Unknown"/>
      </xsd:simpleType>
    </xsd:element>
    <xsd:element name="DynamicPublishingContent4" ma:index="45" nillable="true" ma:displayName="Dynamisk sideindhold (5)" ma:hidden="true" ma:internalName="DynamicPublishingContent4">
      <xsd:simpleType>
        <xsd:restriction base="dms:Unknown"/>
      </xsd:simpleType>
    </xsd:element>
    <xsd:element name="DynamicPublishingContent5" ma:index="46" nillable="true" ma:displayName="Dynamisk sideindhold (6)" ma:hidden="true" ma:internalName="DynamicPublishingContent5">
      <xsd:simpleType>
        <xsd:restriction base="dms:Unknown"/>
      </xsd:simpleType>
    </xsd:element>
    <xsd:element name="DynamicPublishingContent6" ma:index="59" nillable="true" ma:displayName="Dynamisk sideindhold (7)" ma:hidden="true" ma:internalName="DynamicPublishingContent6">
      <xsd:simpleType>
        <xsd:restriction base="dms:Unknown"/>
      </xsd:simpleType>
    </xsd:element>
    <xsd:element name="DynamicPublishingContent7" ma:index="60" nillable="true" ma:displayName="Dynamisk sideindhold (8)" ma:hidden="true" ma:internalName="DynamicPublishingContent7">
      <xsd:simpleType>
        <xsd:restriction base="dms:Unknown"/>
      </xsd:simpleType>
    </xsd:element>
    <xsd:element name="DynamicPublishingContent8" ma:index="61" nillable="true" ma:displayName="Dynamisk sideindhold (9)" ma:hidden="true" ma:internalName="DynamicPublishingContent8">
      <xsd:simpleType>
        <xsd:restriction base="dms:Unknown"/>
      </xsd:simpleType>
    </xsd:element>
    <xsd:element name="DynamicPublishingContent9" ma:index="62" nillable="true" ma:displayName="Dynamisk sideindhold (10)" ma:hidden="true" ma:internalName="DynamicPublishingContent9">
      <xsd:simpleType>
        <xsd:restriction base="dms:Unknown"/>
      </xsd:simpleType>
    </xsd:element>
    <xsd:element name="DynamicPublishingContent10" ma:index="63" nillable="true" ma:displayName="Dynamisk sideindhold (11)" ma:hidden="true" ma:internalName="DynamicPublishingContent10">
      <xsd:simpleType>
        <xsd:restriction base="dms:Unknown"/>
      </xsd:simpleType>
    </xsd:element>
    <xsd:element name="DynamicPublishingContent11" ma:index="64" nillable="true" ma:displayName="Dynamisk sideindhold (12)" ma:hidden="true" ma:internalName="DynamicPublishingContent11">
      <xsd:simpleType>
        <xsd:restriction base="dms:Unknown"/>
      </xsd:simpleType>
    </xsd:element>
    <xsd:element name="DynamicPublishingContent12" ma:index="65" nillable="true" ma:displayName="Dynamisk sideindhold (13)" ma:hidden="true" ma:internalName="DynamicPublishingContent12">
      <xsd:simpleType>
        <xsd:restriction base="dms:Unknown"/>
      </xsd:simpleType>
    </xsd:element>
    <xsd:element name="DynamicPublishingContent13" ma:index="66" nillable="true" ma:displayName="Dynamisk sideindhold (14)" ma:hidden="true" ma:internalName="DynamicPublishingContent13">
      <xsd:simpleType>
        <xsd:restriction base="dms:Unknown"/>
      </xsd:simpleType>
    </xsd:element>
    <xsd:element name="DynamicPublishingContent14" ma:index="67" nillable="true" ma:displayName="Dynamisk sideindhold (15)" ma:hidden="true" ma:internalName="DynamicPublishingContent14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4f8e4-fb23-41f2-abf2-894c09132e17" elementFormDefault="qualified">
    <xsd:import namespace="http://schemas.microsoft.com/office/2006/documentManagement/types"/>
    <xsd:import namespace="http://schemas.microsoft.com/office/infopath/2007/PartnerControls"/>
    <xsd:element name="Ansvarligafdeling" ma:index="27" nillable="true" ma:displayName="Ansvarlig afdeling" ma:list="{2b5a13a3-256c-433f-bc8b-bde4d05df095}" ma:internalName="Ansvarligafdeling" ma:showField="Title" ma:web="{303eeafb-7dff-46db-9396-e9c651f530ea}">
      <xsd:simpleType>
        <xsd:restriction base="dms:Lookup"/>
      </xsd:simpleType>
    </xsd:element>
    <xsd:element name="Rettighedsgruppe" ma:index="29" ma:displayName="Rettighedsgruppe" ma:default="2;#Basis" ma:list="{cd861654-9942-42cc-b4e8-22e2eb33fafe}" ma:internalName="Rettighedsgruppe" ma:readOnly="false" ma:showField="Title" ma:web="{303eeafb-7dff-46db-9396-e9c651f530ea}">
      <xsd:simpleType>
        <xsd:restriction base="dms:Lookup"/>
      </xsd:simpleType>
    </xsd:element>
    <xsd:element name="Afsender" ma:index="36" nillable="true" ma:displayName="Afsender" ma:default="2;#Landscentret" ma:list="{b497b606-9a6f-4593-a3de-acb9bcbea154}" ma:internalName="Afsender" ma:showField="LinkTitleNoMenu" ma:web="{303eeafb-7dff-46db-9396-e9c651f530ea}">
      <xsd:simpleType>
        <xsd:restriction base="dms:Lookup"/>
      </xsd:simpleType>
    </xsd:element>
    <xsd:element name="Arkiveringsdato" ma:index="37" ma:displayName="Arkiveringsdato" ma:format="DateOnly" ma:internalName="Arkiveringsdato">
      <xsd:simpleType>
        <xsd:restriction base="dms:DateTime"/>
      </xsd:simpleType>
    </xsd:element>
    <xsd:element name="Ingen_x0020_besked_x0020_ved_x0020_arkivering" ma:index="38" nillable="true" ma:displayName="Ingen besked ved arkivering" ma:default="0" ma:description="Klik her, for ikke at modtage en besked, når dokumentet når sin udløbsdato" ma:internalName="Ingen_x0020_besked_x0020_ved_x0020_arkivering">
      <xsd:simpleType>
        <xsd:restriction base="dms:Boolean"/>
      </xsd:simpleType>
    </xsd:element>
    <xsd:element name="HideInRollups" ma:index="39" nillable="true" ma:displayName="Skjul i artikellister" ma:default="0" ma:description="Klik her for at skjule siden i artikellister" ma:internalName="HideInRollups">
      <xsd:simpleType>
        <xsd:restriction base="dms:Boolean"/>
      </xsd:simpleType>
    </xsd:element>
    <xsd:element name="IsHiddenFromRollup" ma:index="40" nillable="true" ma:displayName="Skjult i artikellister (system)" ma:decimals="0" ma:default="0" ma:description="Understøtter infrastrukturen" ma:internalName="IsHiddenFromRollup">
      <xsd:simpleType>
        <xsd:restriction base="dms:Number"/>
      </xsd:simpleType>
    </xsd:element>
    <xsd:element name="EnclosureFor" ma:index="48" nillable="true" ma:displayName="Bilag til" ma:description="Peger på bilagets moderdokument" ma:internalName="EnclosureFo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GammelURL" ma:index="49" nillable="true" ma:displayName="Gammel URL" ma:description="Tidligere placering på landbrugsinfo" ma:internalName="GammelURL">
      <xsd:simpleType>
        <xsd:restriction base="dms:Text">
          <xsd:maxLength value="255"/>
        </xsd:restriction>
      </xsd:simpleType>
    </xsd:element>
    <xsd:element name="NetSkabelonValue" ma:index="50" nillable="true" ma:displayName="NetSkabelon værdier" ma:internalName="NetSkabelonValue">
      <xsd:simpleType>
        <xsd:restriction base="dms:Text">
          <xsd:maxLength value="255"/>
        </xsd:restriction>
      </xsd:simpleType>
    </xsd:element>
    <xsd:element name="Projekter" ma:index="51" nillable="true" ma:displayName="Projekter" ma:list="{ecf07d35-95fb-4bda-ad72-e46544058ec2}" ma:internalName="Projekter" ma:showField="LinkTitleNoMenu" ma:web="{303eeafb-7dff-46db-9396-e9c651f530ea}">
      <xsd:simpleType>
        <xsd:restriction base="dms:Unknown"/>
      </xsd:simpleType>
    </xsd:element>
    <xsd:element name="WebInfoSubjects" ma:index="52" nillable="true" ma:displayName="Emneord" ma:description="Knyt emneord til din artikel. Benyttes primært til nyhedsbreve." ma:list="{c1fcffa3-db61-496d-89f0-dea25d970c75}" ma:internalName="WebInfoSubjects" ma:showField="LinkTitleNoMenu" ma:web="{303eeafb-7dff-46db-9396-e9c651f530ea}">
      <xsd:simpleType>
        <xsd:restriction base="dms:Unknown"/>
      </xsd:simpleType>
    </xsd:element>
    <xsd:element name="HitCount" ma:index="53" nillable="true" ma:displayName="HitCount (system)" ma:decimals="0" ma:default="0" ma:description="Antal gange et dokument er set af en bruger" ma:internalName="HitCount" ma:readOnly="false">
      <xsd:simpleType>
        <xsd:restriction base="dms:Number"/>
      </xsd:simpleType>
    </xsd:element>
    <xsd:element name="PermalinkID" ma:index="54" nillable="true" ma:displayName="Permalink ID" ma:description="Unik ID for artiklen som kan benyttes til permalink" ma:hidden="true" ma:internalName="PermalinkID" ma:readOnly="false">
      <xsd:simpleType>
        <xsd:restriction base="dms:Text">
          <xsd:maxLength value="255"/>
        </xsd:restriction>
      </xsd:simpleType>
    </xsd:element>
    <xsd:element name="WebInfoMultiSelect" ma:index="55" nillable="true" ma:displayName="Tilvalg" ma:description="Mulighed for et antal tilvalg gemt i et samlet felt." ma:internalName="WebInfoMultiSelect">
      <xsd:simpleType>
        <xsd:restriction base="dms:Unknown"/>
      </xsd:simpleType>
    </xsd:element>
    <xsd:element name="TaksonomiTaxHTField0" ma:index="68" nillable="true" ma:taxonomy="true" ma:internalName="TaksonomiTaxHTField0" ma:taxonomyFieldName="Taksonomi" ma:displayName="Taksonomi" ma:fieldId="{6e43b4ee-656e-4e6d-875c-6c0fe73b7faf}" ma:taxonomyMulti="true" ma:sspId="2476898c-5e7e-458a-8d26-e528e2e6d5ce" ma:termSetId="65f14c63-6b42-47e9-9739-973b2f9a435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villingsgivere" ma:index="72" nillable="true" ma:displayName="Bevillingsgivere" ma:list="9ccd692b-b01f-4300-9d4e-b4fb85c2c995" ma:internalName="Bevillingsgivere" ma:showField="LinkTitleNoMenu" ma:web="303eeafb-7dff-46db-9396-e9c651f530ea">
      <xsd:simpleType>
        <xsd:restriction base="dms:Unknown"/>
      </xsd:simpleType>
    </xsd:element>
    <xsd:element name="FinanceYear" ma:index="73" nillable="true" ma:displayName="Bevillingsår" ma:decimals="0" ma:internalName="FinanceYear">
      <xsd:simpleType>
        <xsd:restriction base="dms:Number"/>
      </xsd:simpleType>
    </xsd:element>
    <xsd:element name="WebInfoLawCodes" ma:index="74" nillable="true" ma:displayName="Lovkoder" ma:description="Knyt lovkoder til din artikel." ma:list="{908f6eb6-a66b-478a-a99e-d2541dc092be}" ma:internalName="WebInfoLawCodes" ma:showField="LinkTitleNoMenu" ma:web="{303eeafb-7dff-46db-9396-e9c651f530ea}">
      <xsd:simpleType>
        <xsd:restriction base="dms:Unknown"/>
      </xsd:simpleType>
    </xsd:element>
    <xsd:element name="Afrapportering" ma:index="75" nillable="true" ma:displayName="Afrapportering" ma:list="{126d356a-4f5c-4bbb-91a6-e07af1934e19}" ma:internalName="Afrapportering" ma:showField="LinkTitleNoMenu" ma:web="{303eeafb-7dff-46db-9396-e9c651f530ea}">
      <xsd:simpleType>
        <xsd:restriction base="dms:Unknown"/>
      </xsd:simpleType>
    </xsd:element>
    <xsd:element name="ProjectID" ma:index="79" nillable="true" ma:displayName="ProjectID (system)" ma:internalName="Project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a14257-579e-4a1f-bbbb-3c8dd7393476" elementFormDefault="qualified">
    <xsd:import namespace="http://schemas.microsoft.com/office/2006/documentManagement/types"/>
    <xsd:import namespace="http://schemas.microsoft.com/office/infopath/2007/PartnerControls"/>
    <xsd:element name="Forfattere" ma:index="28" nillable="true" ma:displayName="Forfattere" ma:list="UserInfo" ma:SharePointGroup="0" ma:internalName="Forfatter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stekode" ma:index="30" nillable="true" ma:displayName="Listekode" ma:internalName="Listekode">
      <xsd:simpleType>
        <xsd:restriction base="dms:Text">
          <xsd:maxLength value="255"/>
        </xsd:restriction>
      </xsd:simpleType>
    </xsd:element>
    <xsd:element name="Nummer" ma:index="31" nillable="true" ma:displayName="Nummer" ma:internalName="Nummer">
      <xsd:simpleType>
        <xsd:restriction base="dms:Text">
          <xsd:maxLength value="255"/>
        </xsd:restriction>
      </xsd:simpleType>
    </xsd:element>
    <xsd:element name="Noegleord" ma:index="32" nillable="true" ma:displayName="Nøgleord" ma:internalName="Noegleord">
      <xsd:simpleType>
        <xsd:restriction base="dms:Text">
          <xsd:maxLength value="255"/>
        </xsd:restriction>
      </xsd:simpleType>
    </xsd:element>
    <xsd:element name="Informationsserie" ma:index="33" nillable="true" ma:displayName="Historisk informationsserie" ma:internalName="Informationsserie">
      <xsd:simpleType>
        <xsd:restriction base="dms:Text">
          <xsd:maxLength value="255"/>
        </xsd:restriction>
      </xsd:simpleType>
    </xsd:element>
    <xsd:element name="Bekraeftelsesdato" ma:index="34" nillable="true" ma:displayName="Bekræftelsesdato" ma:format="DateTime" ma:internalName="Bekraeftelsesdato">
      <xsd:simpleType>
        <xsd:restriction base="dms:DateTime"/>
      </xsd:simpleType>
    </xsd:element>
    <xsd:element name="Revisionsdato" ma:index="35" nillable="true" ma:displayName="Revisionsdato" ma:format="DateTime" ma:internalName="Revisionsdato">
      <xsd:simpleType>
        <xsd:restriction base="dms:DateTime"/>
      </xsd:simpleType>
    </xsd:element>
    <xsd:element name="Sorteringsorden" ma:index="47" nillable="true" ma:displayName="Sorteringsorden" ma:decimals="0" ma:internalName="Sorteringsorden">
      <xsd:simpleType>
        <xsd:restriction base="dms:Number"/>
      </xsd:simpleType>
    </xsd:element>
    <xsd:element name="Kontaktpersoner" ma:index="76" nillable="true" ma:displayName="Kontaktpersoner" ma:list="UserInfo" ma:SharePointGroup="0" ma:internalName="Kontaktpersoner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kribenter" ma:index="77" nillable="true" ma:displayName="Skribenter" ma:list="UserInfo" ma:SharePointGroup="0" ma:internalName="Skribenter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eeafb-7dff-46db-9396-e9c651f530ea" elementFormDefault="qualified">
    <xsd:import namespace="http://schemas.microsoft.com/office/2006/documentManagement/types"/>
    <xsd:import namespace="http://schemas.microsoft.com/office/infopath/2007/PartnerControls"/>
    <xsd:element name="_dlc_DocId" ma:index="56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57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69" nillable="true" ma:displayName="Taxonomy Catch All Column" ma:description="" ma:hidden="true" ma:list="{00a11604-cdb1-438d-8b4c-a208f6918db7}" ma:internalName="TaxCatchAll" ma:showField="CatchAllData" ma:web="303eeafb-7dff-46db-9396-e9c651f530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0" nillable="true" ma:displayName="Taxonomy Catch All Column1" ma:description="" ma:hidden="true" ma:list="{00a11604-cdb1-438d-8b4c-a208f6918db7}" ma:internalName="TaxCatchAllLabel" ma:readOnly="true" ma:showField="CatchAllDataLabel" ma:web="303eeafb-7dff-46db-9396-e9c651f530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Contact xmlns="http://schemas.microsoft.com/sharepoint/v3">
      <UserInfo>
        <DisplayName/>
        <AccountId xsi:nil="true"/>
        <AccountType/>
      </UserInfo>
    </PublishingContact>
    <PermalinkID xmlns="2784f8e4-fb23-41f2-abf2-894c09132e17">760552fc-1da4-4c4d-8007-7bb2888921f6</PermalinkID>
    <Revisionsdato xmlns="5aa14257-579e-4a1f-bbbb-3c8dd7393476">2017-12-21T13:26:00+00:00</Revisionsdato>
    <Noegleord xmlns="5aa14257-579e-4a1f-bbbb-3c8dd7393476" xsi:nil="true"/>
    <DynamicPublishingContent14 xmlns="http://schemas.microsoft.com/sharepoint/v3" xsi:nil="true"/>
    <TaksonomiTaxHTField0 xmlns="2784f8e4-fb23-41f2-abf2-894c09132e17">
      <Terms xmlns="http://schemas.microsoft.com/office/infopath/2007/PartnerControls"/>
    </TaksonomiTaxHTField0>
    <PublishingRollupImage xmlns="http://schemas.microsoft.com/sharepoint/v3" xsi:nil="true"/>
    <ArticleStartDate xmlns="http://schemas.microsoft.com/sharepoint/v3">2018-02-18T23:00:00+00:00</ArticleStartDate>
    <DynamicPublishingContent6 xmlns="http://schemas.microsoft.com/sharepoint/v3" xsi:nil="true"/>
    <Kontaktpersoner xmlns="5aa14257-579e-4a1f-bbbb-3c8dd7393476">
      <UserInfo>
        <DisplayName/>
        <AccountId xsi:nil="true"/>
        <AccountType/>
      </UserInfo>
    </Kontaktpersoner>
    <DynamicPublishingContent1 xmlns="http://schemas.microsoft.com/sharepoint/v3" xsi:nil="true"/>
    <SummaryLinks xmlns="http://schemas.microsoft.com/sharepoint/v3">&lt;div title="_schemaversion" id="_3"&gt;
  &lt;div title="_view"&gt;
    &lt;span title="_columns"&gt;1&lt;/span&gt;
    &lt;span title="_linkstyle"&gt;&lt;/span&gt;
    &lt;span title="_groupstyle"&gt;&lt;/span&gt;
  &lt;/div&gt;
&lt;/div&gt;</SummaryLinks>
    <PublishingStartDate xmlns="http://schemas.microsoft.com/sharepoint/v3" xsi:nil="true"/>
    <Afrapportering xmlns="2784f8e4-fb23-41f2-abf2-894c09132e17">248;#Kortlægning og formidling af økonomiske og finansielle potentialer og risici i landbruget</Afrapportering>
    <DynamicPublishingContent9 xmlns="http://schemas.microsoft.com/sharepoint/v3" xsi:nil="true"/>
    <_dlc_DocId xmlns="303eeafb-7dff-46db-9396-e9c651f530ea">LBINFO-1975929456-403</_dlc_DocId>
    <FinanceYear xmlns="2784f8e4-fb23-41f2-abf2-894c09132e17" xsi:nil="true"/>
    <PublishingVariationRelationshipLinkFieldID xmlns="http://schemas.microsoft.com/sharepoint/v3">
      <Url xsi:nil="true"/>
      <Description xsi:nil="true"/>
    </PublishingVariationRelationshipLinkFieldID>
    <WebInfoMultiSelect xmlns="2784f8e4-fb23-41f2-abf2-894c09132e17" xsi:nil="true"/>
    <TaxCatchAll xmlns="303eeafb-7dff-46db-9396-e9c651f530ea"/>
    <DynamicPublishingContent4 xmlns="http://schemas.microsoft.com/sharepoint/v3" xsi:nil="true"/>
    <Listekode xmlns="5aa14257-579e-4a1f-bbbb-3c8dd7393476" xsi:nil="true"/>
    <EnclosureFor xmlns="2784f8e4-fb23-41f2-abf2-894c09132e17">
      <Url xsi:nil="true"/>
      <Description xsi:nil="true"/>
    </EnclosureFor>
    <DynamicPublishingContent10 xmlns="http://schemas.microsoft.com/sharepoint/v3" xsi:nil="true"/>
    <Ansvarligafdeling xmlns="2784f8e4-fb23-41f2-abf2-894c09132e17">38</Ansvarligafdeling>
    <HeaderStyleDefinitions xmlns="http://schemas.microsoft.com/sharepoint/v3" xsi:nil="true"/>
    <Skribenter xmlns="5aa14257-579e-4a1f-bbbb-3c8dd7393476">
      <UserInfo>
        <DisplayName/>
        <AccountId xsi:nil="true"/>
        <AccountType/>
      </UserInfo>
    </Skribenter>
    <WebInfoSubjects xmlns="2784f8e4-fb23-41f2-abf2-894c09132e17" xsi:nil="true"/>
    <ProjectID xmlns="2784f8e4-fb23-41f2-abf2-894c09132e17">X248X</ProjectID>
    <Informationsserie xmlns="5aa14257-579e-4a1f-bbbb-3c8dd7393476" xsi:nil="true"/>
    <Audience xmlns="http://schemas.microsoft.com/sharepoint/v3" xsi:nil="true"/>
    <Bevillingsgivere xmlns="2784f8e4-fb23-41f2-abf2-894c09132e17" xsi:nil="true"/>
    <DynamicPublishingContent7 xmlns="http://schemas.microsoft.com/sharepoint/v3" xsi:nil="true"/>
    <NetSkabelonValue xmlns="2784f8e4-fb23-41f2-abf2-894c09132e17" xsi:nil="true"/>
    <PublishingImageCaption xmlns="http://schemas.microsoft.com/sharepoint/v3" xsi:nil="true"/>
    <DynamicPublishingContent2 xmlns="http://schemas.microsoft.com/sharepoint/v3" xsi:nil="true"/>
    <GammelURL xmlns="2784f8e4-fb23-41f2-abf2-894c09132e17" xsi:nil="true"/>
    <DynamicPublishingContent13 xmlns="http://schemas.microsoft.com/sharepoint/v3" xsi:nil="true"/>
    <WebInfoLawCodes xmlns="2784f8e4-fb23-41f2-abf2-894c09132e17" xsi:nil="true"/>
    <Arkiveringsdato xmlns="2784f8e4-fb23-41f2-abf2-894c09132e17">2099-12-31T23:00:00+00:00</Arkiveringsdato>
    <Ingen_x0020_besked_x0020_ved_x0020_arkivering xmlns="2784f8e4-fb23-41f2-abf2-894c09132e17">true</Ingen_x0020_besked_x0020_ved_x0020_arkivering>
    <PublishingContactPicture xmlns="http://schemas.microsoft.com/sharepoint/v3">
      <Url xsi:nil="true"/>
      <Description xsi:nil="true"/>
    </PublishingContactPicture>
    <PublishingExpirationDate xmlns="http://schemas.microsoft.com/sharepoint/v3" xsi:nil="true"/>
    <DynamicPublishingContent5 xmlns="http://schemas.microsoft.com/sharepoint/v3" xsi:nil="true"/>
    <PublishingVariationGroupID xmlns="http://schemas.microsoft.com/sharepoint/v3" xsi:nil="true"/>
    <DynamicPublishingContent0 xmlns="http://schemas.microsoft.com/sharepoint/v3" xsi:nil="true"/>
    <DynamicPublishingContent11 xmlns="http://schemas.microsoft.com/sharepoint/v3" xsi:nil="true"/>
    <Rettighedsgruppe xmlns="2784f8e4-fb23-41f2-abf2-894c09132e17">2</Rettighedsgruppe>
    <PublishingContactName xmlns="http://schemas.microsoft.com/sharepoint/v3" xsi:nil="true"/>
    <_dlc_DocIdUrl xmlns="303eeafb-7dff-46db-9396-e9c651f530ea">
      <Url>https://www.landbrugsinfo.dk/Afrapportering/innovation/2017/_layouts/DocIdRedir.aspx?ID=LBINFO-1975929456-403</Url>
      <Description>LBINFO-1975929456-403</Description>
    </_dlc_DocIdUrl>
    <Afsender xmlns="2784f8e4-fb23-41f2-abf2-894c09132e17">2</Afsender>
    <Comments xmlns="http://schemas.microsoft.com/sharepoint/v3" xsi:nil="true"/>
    <Nummer xmlns="5aa14257-579e-4a1f-bbbb-3c8dd7393476" xsi:nil="true"/>
    <DynamicPublishingContent8 xmlns="http://schemas.microsoft.com/sharepoint/v3" xsi:nil="true"/>
    <Projekter xmlns="2784f8e4-fb23-41f2-abf2-894c09132e17" xsi:nil="true"/>
    <PublishingPageContent xmlns="http://schemas.microsoft.com/sharepoint/v3" xsi:nil="true"/>
    <DynamicPublishingContent3 xmlns="http://schemas.microsoft.com/sharepoint/v3" xsi:nil="true"/>
    <Sorteringsorden xmlns="5aa14257-579e-4a1f-bbbb-3c8dd7393476" xsi:nil="true"/>
    <HideInRollups xmlns="2784f8e4-fb23-41f2-abf2-894c09132e17">true</HideInRollups>
    <HitCount xmlns="2784f8e4-fb23-41f2-abf2-894c09132e17">0</HitCount>
    <ArticleByLine xmlns="http://schemas.microsoft.com/sharepoint/v3" xsi:nil="true"/>
    <Bekraeftelsesdato xmlns="5aa14257-579e-4a1f-bbbb-3c8dd7393476">2017-12-21T13:26:00+00:00</Bekraeftelsesdato>
    <PublishingContactEmail xmlns="http://schemas.microsoft.com/sharepoint/v3" xsi:nil="true"/>
    <DynamicPublishingContent12 xmlns="http://schemas.microsoft.com/sharepoint/v3" xsi:nil="true"/>
    <Forfattere xmlns="5aa14257-579e-4a1f-bbbb-3c8dd7393476">
      <UserInfo>
        <DisplayName>i:0e.t|dlbr idp|lcjta@prod.dli</DisplayName>
        <AccountId>16211</AccountId>
        <AccountType/>
      </UserInfo>
    </Forfattere>
    <PublishingPageImage xmlns="http://schemas.microsoft.com/sharepoint/v3" xsi:nil="true"/>
    <IsHiddenFromRollup xmlns="2784f8e4-fb23-41f2-abf2-894c09132e17">1</IsHiddenFromRollup>
  </documentManagement>
</p:properties>
</file>

<file path=customXml/itemProps1.xml><?xml version="1.0" encoding="utf-8"?>
<ds:datastoreItem xmlns:ds="http://schemas.openxmlformats.org/officeDocument/2006/customXml" ds:itemID="{71002BAD-CF12-4B88-9A65-9E7E2DFE2535}"/>
</file>

<file path=customXml/itemProps2.xml><?xml version="1.0" encoding="utf-8"?>
<ds:datastoreItem xmlns:ds="http://schemas.openxmlformats.org/officeDocument/2006/customXml" ds:itemID="{811EFFCD-FBD0-4A3C-9964-4C469AD4C1EC}"/>
</file>

<file path=customXml/itemProps3.xml><?xml version="1.0" encoding="utf-8"?>
<ds:datastoreItem xmlns:ds="http://schemas.openxmlformats.org/officeDocument/2006/customXml" ds:itemID="{851BDFD0-C18D-46FC-BCD7-7FB71BFA4FFA}"/>
</file>

<file path=customXml/itemProps4.xml><?xml version="1.0" encoding="utf-8"?>
<ds:datastoreItem xmlns:ds="http://schemas.openxmlformats.org/officeDocument/2006/customXml" ds:itemID="{A617886B-8AAE-44A9-8A04-ED036E307CC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1. Balance</vt:lpstr>
      <vt:lpstr>2. Finansiering</vt:lpstr>
      <vt:lpstr>3. Følsomhed</vt:lpstr>
      <vt:lpstr>Bidragssats</vt:lpstr>
      <vt:lpstr>Beregninger</vt:lpstr>
    </vt:vector>
  </TitlesOfParts>
  <Company>FOI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Jens-Martin Bramsen</dc:creator>
  <cp:lastModifiedBy>Birthe Stougaard Schøtt</cp:lastModifiedBy>
  <cp:lastPrinted>2017-10-24T20:25:48Z</cp:lastPrinted>
  <dcterms:created xsi:type="dcterms:W3CDTF">2017-10-24T13:24:39Z</dcterms:created>
  <dcterms:modified xsi:type="dcterms:W3CDTF">2018-02-19T11:28:38Z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0x010100C568DB52D9D0A14D9B2FDCC96666E9F2007948130EC3DB064584E219954237AF3900242457EFB8B24247815D688C526CD44D00C26A9DBCB02B5C4DA1F017B836C045C00060750ADE2E6249BABB5C6118FC133DE800AF2E6DC7107240CAAE62CB7A7C0C31000029CB4AD450138A428D24D972EFB8D65D</vt:lpwstr>
  </property>
  <property fmtid="{D5CDD505-2E9C-101B-9397-08002B2CF9AE}" pid="3" name="_dlc_DocIdItemGuid">
    <vt:lpwstr>213fe722-ec35-4dab-b0e7-ed61125cf37d</vt:lpwstr>
  </property>
  <property fmtid="{D5CDD505-2E9C-101B-9397-08002B2CF9AE}" pid="4" name="Taksonomi">
    <vt:lpwstr/>
  </property>
</Properties>
</file>